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Škola OK\"/>
    </mc:Choice>
  </mc:AlternateContent>
  <bookViews>
    <workbookView xWindow="0" yWindow="0" windowWidth="28800" windowHeight="12300"/>
  </bookViews>
  <sheets>
    <sheet name="Read me" sheetId="16" r:id="rId1"/>
    <sheet name="Model" sheetId="12" r:id="rId2"/>
    <sheet name="Model Report" sheetId="13" r:id="rId3"/>
    <sheet name="Loop" sheetId="14" r:id="rId4"/>
    <sheet name="Loop Report" sheetId="17" r:id="rId5"/>
  </sheets>
  <externalReferences>
    <externalReference r:id="rId6"/>
    <externalReference r:id="rId7"/>
  </externalReferences>
  <definedNames>
    <definedName name="Action" localSheetId="3" hidden="1">Loop!$M$18</definedName>
    <definedName name="Action" localSheetId="4" hidden="1">'Loop Report'!$AZ$18</definedName>
    <definedName name="Action" localSheetId="1" hidden="1">Model!$M$18</definedName>
    <definedName name="Action" localSheetId="2" hidden="1">'Model Report'!$AZ$18</definedName>
    <definedName name="ColoredCells" localSheetId="3" hidden="1">Loop!$B$10:$H$34,Loop!$B$38:$C$47,Loop!$M$9:$M$11,Loop!$M$14:$M$16,Loop!$M$18:$M$21,Loop!$M$24:$M$26,Loop!$P$17:$U$34,Loop!$P$38:$P$47,Loop!$Y$13:$Y$34,Loop!$AA$13:$AA$34,Loop!$Y$38:$Y$40,Loop!$AA$38:$AA$40,Loop!$Z$9:$AA$9,Loop!$R$9:$S$9,Loop!$R$10:$S$10,Loop!$R$11:$S$11,Loop!$R$12:$S$12</definedName>
    <definedName name="ColoredCells" localSheetId="1" hidden="1">Model!$B$10:$H$34,Model!$B$38:$C$47,Model!$M$9:$M$11,Model!$M$14:$M$16,Model!$M$18:$M$21,Model!$M$24:$M$26,Model!$P$17:$U$34,Model!$P$38:$P$47,Model!$Y$13:$Y$34,Model!$AA$13:$AA$34,Model!$Y$50:$Y$52,Model!$AA$50:$AA$52,Model!$Z$9:$AA$9,Model!$R$9:$S$9,Model!$R$10:$S$10,Model!$R$11:$S$11,Model!$R$12:$S$12</definedName>
    <definedName name="ControlActionParameters" localSheetId="3" hidden="1">Loop!$M$19:$M$21</definedName>
    <definedName name="ControlActionParameters" localSheetId="1" hidden="1">Model!$M$19:$M$21</definedName>
    <definedName name="ControlledVariable" localSheetId="3" hidden="1">Loop!$M$14</definedName>
    <definedName name="ControlledVariable" localSheetId="1" hidden="1">Model!$M$14</definedName>
    <definedName name="DataLocalSettings" localSheetId="3" hidden="1">Loop!$AD:$AG</definedName>
    <definedName name="DataLocalSettings" localSheetId="1" hidden="1">Model!$AD:$AG</definedName>
    <definedName name="DerivationConstantHigherLimit" hidden="1">1E+32</definedName>
    <definedName name="DerivationConstantLowerLimit" hidden="1">0</definedName>
    <definedName name="FinalTime" localSheetId="3" hidden="1">Loop!$R$10</definedName>
    <definedName name="FinalTime" localSheetId="1" hidden="1">Model!$R$10</definedName>
    <definedName name="Formulas" localSheetId="4" hidden="1">'Loop Report'!$C$11:$AB$611,'Loop Report'!$AF$11:$AO$611,'Loop Report'!$AS$11:$AU$611</definedName>
    <definedName name="Formulas" localSheetId="2" hidden="1">'Model Report'!$C$11:$AB$611,'Model Report'!$AF$11:$AO$611,'Model Report'!$AS$11:$AU$611</definedName>
    <definedName name="GainHigherLimit" hidden="1">50</definedName>
    <definedName name="GainLowerLimit" hidden="1">0</definedName>
    <definedName name="GraphLocation" localSheetId="3" hidden="1">Loop!$Z$9</definedName>
    <definedName name="GraphLocation" localSheetId="1" hidden="1">Model!$Z$9</definedName>
    <definedName name="GraphLoopVariables" localSheetId="3" hidden="1">Loop!$Y$38:$Z$40</definedName>
    <definedName name="GraphLoopVariables" localSheetId="1" hidden="1">Model!$Y$50:$Z$52</definedName>
    <definedName name="GraphLoopVariablesNames" localSheetId="3" hidden="1">Loop!$Y$38:$Y$40</definedName>
    <definedName name="GraphLoopVariablesNames" localSheetId="1" hidden="1">Model!$Y$50:$Y$52</definedName>
    <definedName name="GraphLoopVariablesOrder" localSheetId="3" hidden="1">Loop!$AA$38:$AA$40</definedName>
    <definedName name="GraphLoopVariablesOrder" localSheetId="1" hidden="1">Model!$AA$50:$AA$52</definedName>
    <definedName name="GraphModelVariables" localSheetId="3" hidden="1">Loop!$Y$13:$Z$34</definedName>
    <definedName name="GraphModelVariables" localSheetId="1" hidden="1">Model!$Y$13:$Z$34</definedName>
    <definedName name="GraphModelVariablesNames" localSheetId="3" hidden="1">Loop!$Y$13:$Y$34</definedName>
    <definedName name="GraphModelVariablesNames" localSheetId="1" hidden="1">Model!$Y$13:$Y$34</definedName>
    <definedName name="GraphModelVariablesOrder" localSheetId="3" hidden="1">Loop!$AA$13:$AA$34</definedName>
    <definedName name="GraphModelVariablesOrder" localSheetId="1" hidden="1">Model!$AA$13:$AA$34</definedName>
    <definedName name="InitialControllerError" localSheetId="4" hidden="1">'Loop Report'!$AS$11</definedName>
    <definedName name="InitialControllerError" localSheetId="2" hidden="1">'Model Report'!$AS$11</definedName>
    <definedName name="InitialControllerOutput" localSheetId="4" hidden="1">'Loop Report'!$AT$11</definedName>
    <definedName name="InitialControllerOutput" localSheetId="2" hidden="1">'Model Report'!$AT$11</definedName>
    <definedName name="InitialSetPoint" localSheetId="4" hidden="1">'Loop Report'!$AU$11</definedName>
    <definedName name="InitialSetPoint" localSheetId="2" hidden="1">'Model Report'!$AU$11</definedName>
    <definedName name="InitialTime" localSheetId="4" hidden="1">'Loop Report'!$C$11</definedName>
    <definedName name="InitialTime" localSheetId="2" hidden="1">'Model Report'!$C$11</definedName>
    <definedName name="InitialVariablesValues" localSheetId="4" hidden="1">'Loop Report'!$D$11:$AB$11</definedName>
    <definedName name="InitialVariablesValues" localSheetId="2" hidden="1">'Model Report'!$D$11:$AB$11</definedName>
    <definedName name="IntegrationConstantHigherLimit" hidden="1">1E+32</definedName>
    <definedName name="IntegrationConstantLowerLimit" hidden="1">0</definedName>
    <definedName name="IntegrationMethod" localSheetId="3" hidden="1">Loop!$R$12</definedName>
    <definedName name="IntegrationMethod" localSheetId="1" hidden="1">Model!$R$12</definedName>
    <definedName name="IntegrationStep" localSheetId="3" hidden="1">Loop!$R$11</definedName>
    <definedName name="IntegrationStep" localSheetId="4" hidden="1">'Loop Report'!$AZ$9</definedName>
    <definedName name="IntegrationStep" localSheetId="1" hidden="1">Model!$R$11</definedName>
    <definedName name="IntegrationStep" localSheetId="2" hidden="1">'Model Report'!$AZ$9</definedName>
    <definedName name="LinkedCells" localSheetId="3" hidden="1">Loop!$AB:$AB</definedName>
    <definedName name="LinkedCells" localSheetId="1" hidden="1">Model!$AB:$AB</definedName>
    <definedName name="LoadVariablesChangeSizes" localSheetId="3" hidden="1">Loop!$R$17:$S$34</definedName>
    <definedName name="LoadVariablesChangeSizes" localSheetId="1" hidden="1">Model!$R$17:$S$34</definedName>
    <definedName name="LoadVariablesChangeTimes" localSheetId="3" hidden="1">Loop!$T$17:$U$34</definedName>
    <definedName name="LoadVariablesChangeTimes" localSheetId="1" hidden="1">Model!$T$17:$U$34</definedName>
    <definedName name="LoadVariablesChangeType" localSheetId="3" hidden="1">Loop!$Q$17:$Q$34</definedName>
    <definedName name="LoadVariablesChangeType" localSheetId="1" hidden="1">Model!$Q$17:$Q$34</definedName>
    <definedName name="LoadVariablesNames" localSheetId="3" hidden="1">Loop!$P$17:$P$34</definedName>
    <definedName name="LoadVariablesNames" localSheetId="1" hidden="1">Model!$P$17:$P$34</definedName>
    <definedName name="LoadVariablesTable" localSheetId="3" hidden="1">Loop!$P$17:$U$34</definedName>
    <definedName name="LoadVariablesTable" localSheetId="1" hidden="1">Model!$P$17:$U$34</definedName>
    <definedName name="LoopDataValid" localSheetId="3" hidden="1">Loop!$AG$31</definedName>
    <definedName name="LoopDataValid" localSheetId="1" hidden="1">Model!$AG$31</definedName>
    <definedName name="LoopDataValidationTable" localSheetId="3" hidden="1">Loop!$AE$33:$AG$45</definedName>
    <definedName name="LoopDataValidationTable" localSheetId="1" hidden="1">Model!$AE$33:$AG$45</definedName>
    <definedName name="LoopVariablesNames" localSheetId="4" hidden="1">'Loop Report'!$AS$9:$AU$9</definedName>
    <definedName name="LoopVariablesNames" localSheetId="2" hidden="1">'Model Report'!$AS$9:$AU$9</definedName>
    <definedName name="LoopVariablesUnits" localSheetId="4" hidden="1">'Loop Report'!$AS$10:$AU$10</definedName>
    <definedName name="LoopVariablesUnits" localSheetId="2" hidden="1">'Model Report'!$AS$10:$AU$10</definedName>
    <definedName name="ManipulatedVariable" localSheetId="3" hidden="1">Loop!$M$24</definedName>
    <definedName name="ManipulatedVariable" localSheetId="1" hidden="1">Model!$M$24</definedName>
    <definedName name="ManipulatedVariableHigher" localSheetId="3" hidden="1">Loop!$M$26</definedName>
    <definedName name="ManipulatedVariableHigher" localSheetId="4" hidden="1">'Loop Report'!$AZ$24</definedName>
    <definedName name="ManipulatedVariableHigher" localSheetId="1" hidden="1">Model!$M$26</definedName>
    <definedName name="ManipulatedVariableHigher" localSheetId="2" hidden="1">'Model Report'!$AZ$24</definedName>
    <definedName name="ManipulatedVariableLower" localSheetId="3" hidden="1">Loop!$M$25</definedName>
    <definedName name="ManipulatedVariableLower" localSheetId="4" hidden="1">'Loop Report'!$AZ$23</definedName>
    <definedName name="ManipulatedVariableLower" localSheetId="1" hidden="1">Model!$M$25</definedName>
    <definedName name="ManipulatedVariableLower" localSheetId="2" hidden="1">'Model Report'!$AZ$23</definedName>
    <definedName name="MaxNumDisplayedValues" hidden="1">1000</definedName>
    <definedName name="MaxNumGraphs" hidden="1">8</definedName>
    <definedName name="MaxNumSimulatedValues" hidden="1">6000</definedName>
    <definedName name="MeasuredVariable" localSheetId="3" hidden="1">Loop!$M$9</definedName>
    <definedName name="MeasuredVariable" localSheetId="1" hidden="1">Model!$M$9</definedName>
    <definedName name="MeasuredVariableHigher" localSheetId="3" hidden="1">Loop!$M$11</definedName>
    <definedName name="MeasuredVariableHigher" localSheetId="4" hidden="1">'Loop Report'!$AZ$14</definedName>
    <definedName name="MeasuredVariableHigher" localSheetId="1" hidden="1">Model!$M$11</definedName>
    <definedName name="MeasuredVariableHigher" localSheetId="2" hidden="1">'Model Report'!$AZ$14</definedName>
    <definedName name="MeasuredVariableLower" localSheetId="3" hidden="1">Loop!$M$10</definedName>
    <definedName name="MeasuredVariableLower" localSheetId="4" hidden="1">'Loop Report'!$AZ$13</definedName>
    <definedName name="MeasuredVariableLower" localSheetId="1" hidden="1">Model!$M$10</definedName>
    <definedName name="MeasuredVariableLower" localSheetId="2" hidden="1">'Model Report'!$AZ$13</definedName>
    <definedName name="MinimalDisplayStep" localSheetId="3" hidden="1">Loop!$AG$13</definedName>
    <definedName name="MinimalDisplayStep" localSheetId="1" hidden="1">Model!$AG$13</definedName>
    <definedName name="MinimalIntegrationStep" localSheetId="3" hidden="1">Loop!$AG$9</definedName>
    <definedName name="MinimalIntegrationStep" localSheetId="1" hidden="1">Model!$AG$9</definedName>
    <definedName name="Mode" localSheetId="3" hidden="1">Loop!$M$16</definedName>
    <definedName name="Mode" localSheetId="4" hidden="1">'Loop Report'!$AZ$17</definedName>
    <definedName name="Mode" localSheetId="1" hidden="1">Model!$M$16</definedName>
    <definedName name="Mode" localSheetId="2" hidden="1">'Model Report'!$AZ$17</definedName>
    <definedName name="ModelDataValid" localSheetId="3" hidden="1">Loop!$AG$18</definedName>
    <definedName name="ModelDataValid" localSheetId="1" hidden="1">Model!$AG$18</definedName>
    <definedName name="ModelDataValidationTable" localSheetId="3" hidden="1">Loop!$AE$20:$AG$27</definedName>
    <definedName name="ModelDataValidationTable" localSheetId="1" hidden="1">Model!$AE$20:$AG$27</definedName>
    <definedName name="ModelODEsFormulas" localSheetId="3" hidden="1">Loop!$C$38:$C$47</definedName>
    <definedName name="ModelODEsFormulas" localSheetId="4" hidden="1">'Loop Report'!$AF$11:$AO$11</definedName>
    <definedName name="ModelODEsFormulas" localSheetId="1" hidden="1">Model!$C$38:$C$47</definedName>
    <definedName name="ModelODEsFormulas" localSheetId="2" hidden="1">'Model Report'!$AF$11:$AO$11</definedName>
    <definedName name="ModelODEsSymbolic" localSheetId="3" hidden="1">Loop!$D$38:$D$47</definedName>
    <definedName name="ModelODEsSymbolic" localSheetId="1" hidden="1">Model!$D$38:$D$47</definedName>
    <definedName name="ModelODEsTable" localSheetId="3" hidden="1">Loop!$B$38:$C$47</definedName>
    <definedName name="ModelODEsTable" localSheetId="1" hidden="1">Model!$B$38:$C$47</definedName>
    <definedName name="ModelODEsVariables" localSheetId="3" hidden="1">Loop!$B$38:$B$47</definedName>
    <definedName name="ModelODEsVariables" localSheetId="1" hidden="1">Model!$B$38:$B$47</definedName>
    <definedName name="ModelODEsVariablesNames" localSheetId="4" hidden="1">'Loop Report'!$AF$9:$AO$9</definedName>
    <definedName name="ModelODEsVariablesNames" localSheetId="2" hidden="1">'Model Report'!$AF$9:$AO$9</definedName>
    <definedName name="ModelODEsVariablesNoBlank" localSheetId="3" hidden="1">Loop!$I$38:$I$47</definedName>
    <definedName name="ModelODEsVariablesNoBlank" localSheetId="1" hidden="1">Model!$I$38:$I$47</definedName>
    <definedName name="ModelODEsVariablesUnits" localSheetId="4" hidden="1">'Loop Report'!$AF$10:$AO$10</definedName>
    <definedName name="ModelODEsVariablesUnits" localSheetId="2" hidden="1">'Model Report'!$AF$10:$AO$10</definedName>
    <definedName name="ModelVariablesNames" localSheetId="3" hidden="1">Loop!$B$10:$B$34</definedName>
    <definedName name="ModelVariablesNames" localSheetId="4" hidden="1">'Loop Report'!$D$9:$AB$9</definedName>
    <definedName name="ModelVariablesNames" localSheetId="1" hidden="1">Model!$B$10:$B$34</definedName>
    <definedName name="ModelVariablesNames" localSheetId="2" hidden="1">'Model Report'!$D$9:$AB$9</definedName>
    <definedName name="ModelVariablesTable" localSheetId="3" hidden="1">Loop!$B$10:$H$34</definedName>
    <definedName name="ModelVariablesTable" localSheetId="1" hidden="1">Model!$B$10:$H$34</definedName>
    <definedName name="ModelVariablesUnits" localSheetId="3" hidden="1">Loop!$D$10:$D$34</definedName>
    <definedName name="ModelVariablesUnits" localSheetId="4" hidden="1">'Loop Report'!$D$10:$AB$10</definedName>
    <definedName name="ModelVariablesUnits" localSheetId="1" hidden="1">Model!$D$10:$D$34</definedName>
    <definedName name="ModelVariablesUnits" localSheetId="2" hidden="1">'Model Report'!$D$10:$AB$10</definedName>
    <definedName name="ModelVariablesValues" localSheetId="3" hidden="1">Loop!$C$10:$C$34</definedName>
    <definedName name="ModelVariablesValues" localSheetId="1" hidden="1">Model!$C$10:$C$34</definedName>
    <definedName name="Notices" localSheetId="3" hidden="1">Loop!$B$63</definedName>
    <definedName name="Notices" localSheetId="1" hidden="1">Model!$B$63</definedName>
    <definedName name="NumDisplayValues" localSheetId="3" hidden="1">Loop!$AG$14</definedName>
    <definedName name="NumDisplayValues" localSheetId="1" hidden="1">Model!$AG$14</definedName>
    <definedName name="NumSimulationValues" localSheetId="3" hidden="1">Loop!$AG$10</definedName>
    <definedName name="NumSimulationValues" localSheetId="1" hidden="1">Model!$AG$10</definedName>
    <definedName name="OutputVariables" localSheetId="3" hidden="1">Loop!$P$38:$P$47</definedName>
    <definedName name="OutputVariables" localSheetId="1" hidden="1">Model!$P$38:$P$47</definedName>
    <definedName name="OutputVariablesNames" localSheetId="3" hidden="1">Loop!$P$38:$P$47</definedName>
    <definedName name="OutputVariablesNames" localSheetId="1" hidden="1">Model!$P$38:$P$47</definedName>
    <definedName name="ParametersTable" localSheetId="4" hidden="1">'Loop Report'!$AW$7:$AZ$24</definedName>
    <definedName name="ParametersTable" localSheetId="2" hidden="1">'Model Report'!$AW$7:$AZ$24</definedName>
    <definedName name="r0" localSheetId="3" hidden="1">Loop!$M$19</definedName>
    <definedName name="r0" localSheetId="4" hidden="1">'Loop Report'!$AZ$19</definedName>
    <definedName name="r0" localSheetId="1" hidden="1">Model!$M$19</definedName>
    <definedName name="r0" localSheetId="2" hidden="1">'Model Report'!$AZ$19</definedName>
    <definedName name="RedCells" localSheetId="3" hidden="1">Loop!$A$5:$A$6,Loop!$A$10:$A$34,Loop!$A$38:$A$47,Loop!$I$10:$I$34,Loop!$J$9:$J$11,Loop!$J$14:$J$16,Loop!$J$18:$J$21,Loop!$J$24:$J$26,Loop!$O$9:$O$12,Loop!$O$17:$O$34,Loop!$O$38:$O$47,Loop!$X$9,Loop!$X$13:$X$34,Loop!$X$38:$X$40,Loop!$AB$13:$AB$34,Loop!$AB$38:$AB$40,Loop!$N$18,Loop!$I$38:$I$47,Loop!$Q$38:$Q$47,Loop!$I$9,Loop!$V$17:$V$34,Loop!$W$17:$W$34</definedName>
    <definedName name="RedCells" localSheetId="4" hidden="1">'Loop Report'!$A$5:$A$6,'Loop Report'!$AF$8:$AO$8,'Loop Report'!$AS$8:$AU$8</definedName>
    <definedName name="RedCells" localSheetId="1" hidden="1">Model!$A$5:$A$6,Model!$A$10:$A$34,Model!$A$38:$A$47,Model!$I$10:$I$34,Model!$J$9:$J$11,Model!$J$14:$J$16,Model!$J$18:$J$21,Model!$J$24:$J$26,Model!$O$9:$O$12,Model!$O$17:$O$34,Model!$O$38:$O$47,Model!$X$9,Model!$X$13:$X$34,Model!$X$50:$X$52,Model!$AB$13:$AB$34,Model!$AB$50:$AB$52,Model!$N$18,Model!$I$38:$I$47,Model!$Q$38:$Q$47,Model!$I$9,Model!$V$17:$V$34,Model!$W$17:$W$34</definedName>
    <definedName name="RedCells" localSheetId="2" hidden="1">'Model Report'!$A$5:$A$6,'Model Report'!$AF$8:$AO$8,'Model Report'!$AS$8:$AU$8</definedName>
    <definedName name="RegulatoryLoop" localSheetId="3" hidden="1">Loop!$J:$N</definedName>
    <definedName name="RegulatoryLoop" localSheetId="4" hidden="1">'Loop Report'!$AQ:$AV</definedName>
    <definedName name="RegulatoryLoop" localSheetId="1" hidden="1">Model!$J:$N</definedName>
    <definedName name="RegulatoryLoop" localSheetId="2" hidden="1">'Model Report'!$AQ:$AV</definedName>
    <definedName name="RegulatoryLoopOutputs" localSheetId="3" hidden="1">Loop!$48:$52</definedName>
    <definedName name="RegulatoryLoopOutputs" localSheetId="1" hidden="1">Model!$48:$52</definedName>
    <definedName name="RegulatoryLoopVariablesinChartsTable" localSheetId="3" hidden="1">Loop!$X$36:$AB$40</definedName>
    <definedName name="RegulatoryLoopVariablesinChartsTable" localSheetId="1" hidden="1">Model!$X$48:$AB$52</definedName>
    <definedName name="ReportLocalSettings" localSheetId="4" hidden="1">'Loop Report'!$AW:$AZ</definedName>
    <definedName name="ReportLocalSettings" localSheetId="2" hidden="1">'Model Report'!$AW:$AZ</definedName>
    <definedName name="RibbonPtr" localSheetId="3" hidden="1">207657792</definedName>
    <definedName name="RibbonPtr" localSheetId="4" hidden="1">278598864</definedName>
    <definedName name="RibbonPtr" localSheetId="1" hidden="1">207657792</definedName>
    <definedName name="RibbonPtr" localSheetId="2" hidden="1">207657792</definedName>
    <definedName name="RibbonPtr" hidden="1">196708000</definedName>
    <definedName name="SetPoint" localSheetId="3" hidden="1">Loop!$M$15</definedName>
    <definedName name="SetPoint" localSheetId="4" hidden="1">'Loop Report'!$AZ$16</definedName>
    <definedName name="SetPoint" localSheetId="1" hidden="1">Model!$M$15</definedName>
    <definedName name="SetPoint" localSheetId="2" hidden="1">'Model Report'!$AZ$16</definedName>
    <definedName name="SheetMessage" localSheetId="3" hidden="1">Loop!$1:$1</definedName>
    <definedName name="SheetMessage" localSheetId="4" hidden="1">'Loop Report'!$1:$1</definedName>
    <definedName name="SheetMessage" localSheetId="1" hidden="1">Model!$1:$1</definedName>
    <definedName name="SheetMessage" localSheetId="2" hidden="1">'Model Report'!$1:$1</definedName>
    <definedName name="SheetType" localSheetId="3" hidden="1">Loop!$A$5:$A$6</definedName>
    <definedName name="SheetType" localSheetId="4" hidden="1">'Loop Report'!$A$5:$A$6</definedName>
    <definedName name="SheetType" localSheetId="1" hidden="1">Model!$A$5:$A$6</definedName>
    <definedName name="SheetType" localSheetId="2" hidden="1">'Model Report'!$A$5:$A$6</definedName>
    <definedName name="SimulationTimeUnit" localSheetId="4" hidden="1">'Loop Report'!$C$10</definedName>
    <definedName name="SimulationTimeUnit" localSheetId="2" hidden="1">'Model Report'!$C$10</definedName>
    <definedName name="SteadyStateAccuracy" hidden="1">0.00001</definedName>
    <definedName name="Td" localSheetId="3" hidden="1">Loop!$M$21</definedName>
    <definedName name="Td" localSheetId="4" hidden="1">'Loop Report'!$AZ$21</definedName>
    <definedName name="Td" localSheetId="1" hidden="1">Model!$M$21</definedName>
    <definedName name="Td" localSheetId="2" hidden="1">'Model Report'!$AZ$21</definedName>
    <definedName name="Ti" localSheetId="3" hidden="1">Loop!$M$20</definedName>
    <definedName name="Ti" localSheetId="4" hidden="1">'Loop Report'!$AZ$20</definedName>
    <definedName name="Ti" localSheetId="1" hidden="1">Model!$M$20</definedName>
    <definedName name="Ti" localSheetId="2" hidden="1">'Model Report'!$AZ$20</definedName>
    <definedName name="time" hidden="1">0</definedName>
    <definedName name="TimeUnit" localSheetId="3" hidden="1">Loop!$R$9</definedName>
    <definedName name="TimeUnit" localSheetId="1" hidden="1">Model!$R$9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7" l="1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1" i="17"/>
  <c r="F13" i="17"/>
  <c r="G13" i="17"/>
  <c r="I13" i="17"/>
  <c r="J13" i="17"/>
  <c r="K13" i="17"/>
  <c r="AU13" i="17"/>
  <c r="F14" i="17"/>
  <c r="G14" i="17"/>
  <c r="I14" i="17"/>
  <c r="J14" i="17"/>
  <c r="K14" i="17"/>
  <c r="AU14" i="17"/>
  <c r="F15" i="17"/>
  <c r="G15" i="17"/>
  <c r="I15" i="17"/>
  <c r="J15" i="17"/>
  <c r="K15" i="17"/>
  <c r="AU15" i="17"/>
  <c r="F16" i="17"/>
  <c r="G16" i="17"/>
  <c r="I16" i="17"/>
  <c r="J16" i="17"/>
  <c r="K16" i="17"/>
  <c r="AU16" i="17"/>
  <c r="F17" i="17"/>
  <c r="G17" i="17"/>
  <c r="I17" i="17"/>
  <c r="J17" i="17"/>
  <c r="K17" i="17"/>
  <c r="AU17" i="17"/>
  <c r="F18" i="17"/>
  <c r="G18" i="17"/>
  <c r="I18" i="17"/>
  <c r="J18" i="17"/>
  <c r="K18" i="17"/>
  <c r="AU18" i="17"/>
  <c r="F19" i="17"/>
  <c r="G19" i="17"/>
  <c r="I19" i="17"/>
  <c r="J19" i="17"/>
  <c r="K19" i="17"/>
  <c r="AU19" i="17"/>
  <c r="F20" i="17"/>
  <c r="G20" i="17"/>
  <c r="I20" i="17"/>
  <c r="J20" i="17"/>
  <c r="K20" i="17"/>
  <c r="AU20" i="17"/>
  <c r="F21" i="17"/>
  <c r="G21" i="17"/>
  <c r="I21" i="17"/>
  <c r="J21" i="17"/>
  <c r="K21" i="17"/>
  <c r="AU21" i="17"/>
  <c r="F22" i="17"/>
  <c r="G22" i="17"/>
  <c r="I22" i="17"/>
  <c r="J22" i="17"/>
  <c r="K22" i="17"/>
  <c r="AU22" i="17"/>
  <c r="F23" i="17"/>
  <c r="G23" i="17"/>
  <c r="I23" i="17"/>
  <c r="J23" i="17"/>
  <c r="K23" i="17"/>
  <c r="AU23" i="17"/>
  <c r="F24" i="17"/>
  <c r="G24" i="17"/>
  <c r="I24" i="17"/>
  <c r="J24" i="17"/>
  <c r="K24" i="17"/>
  <c r="AU24" i="17"/>
  <c r="F25" i="17"/>
  <c r="G25" i="17"/>
  <c r="I25" i="17"/>
  <c r="J25" i="17"/>
  <c r="K25" i="17"/>
  <c r="AU25" i="17"/>
  <c r="F26" i="17"/>
  <c r="G26" i="17"/>
  <c r="I26" i="17"/>
  <c r="J26" i="17"/>
  <c r="K26" i="17"/>
  <c r="AU26" i="17"/>
  <c r="F27" i="17"/>
  <c r="G27" i="17"/>
  <c r="I27" i="17"/>
  <c r="J27" i="17"/>
  <c r="K27" i="17"/>
  <c r="AU27" i="17"/>
  <c r="F28" i="17"/>
  <c r="G28" i="17"/>
  <c r="I28" i="17"/>
  <c r="J28" i="17"/>
  <c r="K28" i="17"/>
  <c r="AU28" i="17"/>
  <c r="F29" i="17"/>
  <c r="G29" i="17"/>
  <c r="I29" i="17"/>
  <c r="J29" i="17"/>
  <c r="K29" i="17"/>
  <c r="AU29" i="17"/>
  <c r="F30" i="17"/>
  <c r="G30" i="17"/>
  <c r="I30" i="17"/>
  <c r="J30" i="17"/>
  <c r="K30" i="17"/>
  <c r="AU30" i="17"/>
  <c r="F31" i="17"/>
  <c r="G31" i="17"/>
  <c r="I31" i="17"/>
  <c r="J31" i="17"/>
  <c r="K31" i="17"/>
  <c r="AU31" i="17"/>
  <c r="F32" i="17"/>
  <c r="G32" i="17"/>
  <c r="I32" i="17"/>
  <c r="J32" i="17"/>
  <c r="K32" i="17"/>
  <c r="AU32" i="17"/>
  <c r="F33" i="17"/>
  <c r="G33" i="17"/>
  <c r="I33" i="17"/>
  <c r="J33" i="17"/>
  <c r="K33" i="17"/>
  <c r="AU33" i="17"/>
  <c r="F34" i="17"/>
  <c r="G34" i="17"/>
  <c r="I34" i="17"/>
  <c r="J34" i="17"/>
  <c r="K34" i="17"/>
  <c r="AU34" i="17"/>
  <c r="F35" i="17"/>
  <c r="G35" i="17"/>
  <c r="I35" i="17"/>
  <c r="J35" i="17"/>
  <c r="K35" i="17"/>
  <c r="AU35" i="17"/>
  <c r="F36" i="17"/>
  <c r="G36" i="17"/>
  <c r="I36" i="17"/>
  <c r="J36" i="17"/>
  <c r="K36" i="17"/>
  <c r="AU36" i="17"/>
  <c r="F37" i="17"/>
  <c r="G37" i="17"/>
  <c r="I37" i="17"/>
  <c r="J37" i="17"/>
  <c r="K37" i="17"/>
  <c r="AU37" i="17"/>
  <c r="F38" i="17"/>
  <c r="G38" i="17"/>
  <c r="I38" i="17"/>
  <c r="J38" i="17"/>
  <c r="K38" i="17"/>
  <c r="AU38" i="17"/>
  <c r="F39" i="17"/>
  <c r="G39" i="17"/>
  <c r="I39" i="17"/>
  <c r="J39" i="17"/>
  <c r="K39" i="17"/>
  <c r="AU39" i="17"/>
  <c r="F40" i="17"/>
  <c r="G40" i="17"/>
  <c r="I40" i="17"/>
  <c r="J40" i="17"/>
  <c r="K40" i="17"/>
  <c r="AU40" i="17"/>
  <c r="F41" i="17"/>
  <c r="G41" i="17"/>
  <c r="I41" i="17"/>
  <c r="J41" i="17"/>
  <c r="K41" i="17"/>
  <c r="AU41" i="17"/>
  <c r="F42" i="17"/>
  <c r="G42" i="17"/>
  <c r="I42" i="17"/>
  <c r="J42" i="17"/>
  <c r="K42" i="17"/>
  <c r="AU42" i="17"/>
  <c r="F43" i="17"/>
  <c r="G43" i="17"/>
  <c r="I43" i="17"/>
  <c r="J43" i="17"/>
  <c r="K43" i="17"/>
  <c r="AU43" i="17"/>
  <c r="F44" i="17"/>
  <c r="G44" i="17"/>
  <c r="I44" i="17"/>
  <c r="J44" i="17"/>
  <c r="K44" i="17"/>
  <c r="AU44" i="17"/>
  <c r="F45" i="17"/>
  <c r="G45" i="17"/>
  <c r="I45" i="17"/>
  <c r="J45" i="17"/>
  <c r="K45" i="17"/>
  <c r="AU45" i="17"/>
  <c r="F46" i="17"/>
  <c r="G46" i="17"/>
  <c r="I46" i="17"/>
  <c r="J46" i="17"/>
  <c r="K46" i="17"/>
  <c r="AU46" i="17"/>
  <c r="F47" i="17"/>
  <c r="G47" i="17"/>
  <c r="I47" i="17"/>
  <c r="J47" i="17"/>
  <c r="K47" i="17"/>
  <c r="AU47" i="17"/>
  <c r="F48" i="17"/>
  <c r="G48" i="17"/>
  <c r="I48" i="17"/>
  <c r="J48" i="17"/>
  <c r="K48" i="17"/>
  <c r="AU48" i="17"/>
  <c r="F49" i="17"/>
  <c r="G49" i="17"/>
  <c r="I49" i="17"/>
  <c r="J49" i="17"/>
  <c r="K49" i="17"/>
  <c r="AU49" i="17"/>
  <c r="F50" i="17"/>
  <c r="G50" i="17"/>
  <c r="I50" i="17"/>
  <c r="J50" i="17"/>
  <c r="K50" i="17"/>
  <c r="AU50" i="17"/>
  <c r="F51" i="17"/>
  <c r="G51" i="17"/>
  <c r="I51" i="17"/>
  <c r="J51" i="17"/>
  <c r="K51" i="17"/>
  <c r="AU51" i="17"/>
  <c r="F52" i="17"/>
  <c r="G52" i="17"/>
  <c r="I52" i="17"/>
  <c r="J52" i="17"/>
  <c r="K52" i="17"/>
  <c r="AU52" i="17"/>
  <c r="F53" i="17"/>
  <c r="G53" i="17"/>
  <c r="I53" i="17"/>
  <c r="J53" i="17"/>
  <c r="K53" i="17"/>
  <c r="AU53" i="17"/>
  <c r="F54" i="17"/>
  <c r="G54" i="17"/>
  <c r="I54" i="17"/>
  <c r="J54" i="17"/>
  <c r="K54" i="17"/>
  <c r="AU54" i="17"/>
  <c r="F55" i="17"/>
  <c r="G55" i="17"/>
  <c r="I55" i="17"/>
  <c r="J55" i="17"/>
  <c r="K55" i="17"/>
  <c r="AU55" i="17"/>
  <c r="F56" i="17"/>
  <c r="G56" i="17"/>
  <c r="I56" i="17"/>
  <c r="J56" i="17"/>
  <c r="K56" i="17"/>
  <c r="AU56" i="17"/>
  <c r="F57" i="17"/>
  <c r="G57" i="17"/>
  <c r="I57" i="17"/>
  <c r="J57" i="17"/>
  <c r="K57" i="17"/>
  <c r="AU57" i="17"/>
  <c r="F58" i="17"/>
  <c r="G58" i="17"/>
  <c r="I58" i="17"/>
  <c r="J58" i="17"/>
  <c r="K58" i="17"/>
  <c r="AU58" i="17"/>
  <c r="F59" i="17"/>
  <c r="G59" i="17"/>
  <c r="I59" i="17"/>
  <c r="J59" i="17"/>
  <c r="K59" i="17"/>
  <c r="AU59" i="17"/>
  <c r="F60" i="17"/>
  <c r="G60" i="17"/>
  <c r="I60" i="17"/>
  <c r="J60" i="17"/>
  <c r="K60" i="17"/>
  <c r="AU60" i="17"/>
  <c r="F61" i="17"/>
  <c r="G61" i="17"/>
  <c r="I61" i="17"/>
  <c r="J61" i="17"/>
  <c r="K61" i="17"/>
  <c r="AU61" i="17"/>
  <c r="F62" i="17"/>
  <c r="G62" i="17"/>
  <c r="I62" i="17"/>
  <c r="J62" i="17"/>
  <c r="K62" i="17"/>
  <c r="AU62" i="17"/>
  <c r="F63" i="17"/>
  <c r="G63" i="17"/>
  <c r="I63" i="17"/>
  <c r="J63" i="17"/>
  <c r="K63" i="17"/>
  <c r="AU63" i="17"/>
  <c r="F64" i="17"/>
  <c r="G64" i="17"/>
  <c r="I64" i="17"/>
  <c r="J64" i="17"/>
  <c r="K64" i="17"/>
  <c r="AU64" i="17"/>
  <c r="F65" i="17"/>
  <c r="G65" i="17"/>
  <c r="I65" i="17"/>
  <c r="J65" i="17"/>
  <c r="K65" i="17"/>
  <c r="AU65" i="17"/>
  <c r="F66" i="17"/>
  <c r="G66" i="17"/>
  <c r="I66" i="17"/>
  <c r="J66" i="17"/>
  <c r="K66" i="17"/>
  <c r="AU66" i="17"/>
  <c r="F67" i="17"/>
  <c r="G67" i="17"/>
  <c r="I67" i="17"/>
  <c r="J67" i="17"/>
  <c r="K67" i="17"/>
  <c r="AU67" i="17"/>
  <c r="F68" i="17"/>
  <c r="G68" i="17"/>
  <c r="I68" i="17"/>
  <c r="J68" i="17"/>
  <c r="K68" i="17"/>
  <c r="AU68" i="17"/>
  <c r="F69" i="17"/>
  <c r="G69" i="17"/>
  <c r="I69" i="17"/>
  <c r="J69" i="17"/>
  <c r="K69" i="17"/>
  <c r="AU69" i="17"/>
  <c r="F70" i="17"/>
  <c r="G70" i="17"/>
  <c r="I70" i="17"/>
  <c r="J70" i="17"/>
  <c r="K70" i="17"/>
  <c r="AU70" i="17"/>
  <c r="F71" i="17"/>
  <c r="G71" i="17"/>
  <c r="I71" i="17"/>
  <c r="J71" i="17"/>
  <c r="K71" i="17"/>
  <c r="AU71" i="17"/>
  <c r="F72" i="17"/>
  <c r="G72" i="17"/>
  <c r="I72" i="17"/>
  <c r="J72" i="17"/>
  <c r="K72" i="17"/>
  <c r="AU72" i="17"/>
  <c r="F73" i="17"/>
  <c r="G73" i="17"/>
  <c r="I73" i="17"/>
  <c r="J73" i="17"/>
  <c r="K73" i="17"/>
  <c r="AU73" i="17"/>
  <c r="F74" i="17"/>
  <c r="G74" i="17"/>
  <c r="I74" i="17"/>
  <c r="J74" i="17"/>
  <c r="K74" i="17"/>
  <c r="AU74" i="17"/>
  <c r="F75" i="17"/>
  <c r="G75" i="17"/>
  <c r="I75" i="17"/>
  <c r="J75" i="17"/>
  <c r="K75" i="17"/>
  <c r="AU75" i="17"/>
  <c r="F76" i="17"/>
  <c r="G76" i="17"/>
  <c r="I76" i="17"/>
  <c r="J76" i="17"/>
  <c r="K76" i="17"/>
  <c r="AU76" i="17"/>
  <c r="F77" i="17"/>
  <c r="G77" i="17"/>
  <c r="I77" i="17"/>
  <c r="J77" i="17"/>
  <c r="K77" i="17"/>
  <c r="AU77" i="17"/>
  <c r="F78" i="17"/>
  <c r="G78" i="17"/>
  <c r="I78" i="17"/>
  <c r="J78" i="17"/>
  <c r="K78" i="17"/>
  <c r="AU78" i="17"/>
  <c r="F79" i="17"/>
  <c r="G79" i="17"/>
  <c r="I79" i="17"/>
  <c r="J79" i="17"/>
  <c r="K79" i="17"/>
  <c r="AU79" i="17"/>
  <c r="F80" i="17"/>
  <c r="G80" i="17"/>
  <c r="I80" i="17"/>
  <c r="J80" i="17"/>
  <c r="K80" i="17"/>
  <c r="AU80" i="17"/>
  <c r="F81" i="17"/>
  <c r="G81" i="17"/>
  <c r="I81" i="17"/>
  <c r="J81" i="17"/>
  <c r="K81" i="17"/>
  <c r="AU81" i="17"/>
  <c r="F82" i="17"/>
  <c r="G82" i="17"/>
  <c r="I82" i="17"/>
  <c r="J82" i="17"/>
  <c r="K82" i="17"/>
  <c r="AU82" i="17"/>
  <c r="F83" i="17"/>
  <c r="G83" i="17"/>
  <c r="I83" i="17"/>
  <c r="J83" i="17"/>
  <c r="K83" i="17"/>
  <c r="AU83" i="17"/>
  <c r="F84" i="17"/>
  <c r="G84" i="17"/>
  <c r="I84" i="17"/>
  <c r="J84" i="17"/>
  <c r="K84" i="17"/>
  <c r="AU84" i="17"/>
  <c r="F85" i="17"/>
  <c r="G85" i="17"/>
  <c r="I85" i="17"/>
  <c r="J85" i="17"/>
  <c r="K85" i="17"/>
  <c r="AU85" i="17"/>
  <c r="F86" i="17"/>
  <c r="G86" i="17"/>
  <c r="I86" i="17"/>
  <c r="J86" i="17"/>
  <c r="K86" i="17"/>
  <c r="AU86" i="17"/>
  <c r="F87" i="17"/>
  <c r="G87" i="17"/>
  <c r="I87" i="17"/>
  <c r="J87" i="17"/>
  <c r="K87" i="17"/>
  <c r="AU87" i="17"/>
  <c r="F88" i="17"/>
  <c r="G88" i="17"/>
  <c r="I88" i="17"/>
  <c r="J88" i="17"/>
  <c r="K88" i="17"/>
  <c r="AU88" i="17"/>
  <c r="F89" i="17"/>
  <c r="G89" i="17"/>
  <c r="I89" i="17"/>
  <c r="J89" i="17"/>
  <c r="K89" i="17"/>
  <c r="AU89" i="17"/>
  <c r="F90" i="17"/>
  <c r="G90" i="17"/>
  <c r="I90" i="17"/>
  <c r="J90" i="17"/>
  <c r="K90" i="17"/>
  <c r="AU90" i="17"/>
  <c r="F91" i="17"/>
  <c r="G91" i="17"/>
  <c r="I91" i="17"/>
  <c r="J91" i="17"/>
  <c r="K91" i="17"/>
  <c r="AU91" i="17"/>
  <c r="F92" i="17"/>
  <c r="G92" i="17"/>
  <c r="I92" i="17"/>
  <c r="J92" i="17"/>
  <c r="K92" i="17"/>
  <c r="AU92" i="17"/>
  <c r="F93" i="17"/>
  <c r="G93" i="17"/>
  <c r="I93" i="17"/>
  <c r="J93" i="17"/>
  <c r="K93" i="17"/>
  <c r="AU93" i="17"/>
  <c r="F94" i="17"/>
  <c r="G94" i="17"/>
  <c r="I94" i="17"/>
  <c r="J94" i="17"/>
  <c r="K94" i="17"/>
  <c r="AU94" i="17"/>
  <c r="F95" i="17"/>
  <c r="G95" i="17"/>
  <c r="I95" i="17"/>
  <c r="J95" i="17"/>
  <c r="K95" i="17"/>
  <c r="AU95" i="17"/>
  <c r="F96" i="17"/>
  <c r="G96" i="17"/>
  <c r="I96" i="17"/>
  <c r="J96" i="17"/>
  <c r="K96" i="17"/>
  <c r="AU96" i="17"/>
  <c r="F97" i="17"/>
  <c r="G97" i="17"/>
  <c r="I97" i="17"/>
  <c r="J97" i="17"/>
  <c r="K97" i="17"/>
  <c r="AU97" i="17"/>
  <c r="F98" i="17"/>
  <c r="G98" i="17"/>
  <c r="I98" i="17"/>
  <c r="J98" i="17"/>
  <c r="K98" i="17"/>
  <c r="AU98" i="17"/>
  <c r="F99" i="17"/>
  <c r="G99" i="17"/>
  <c r="I99" i="17"/>
  <c r="J99" i="17"/>
  <c r="K99" i="17"/>
  <c r="AU99" i="17"/>
  <c r="F100" i="17"/>
  <c r="G100" i="17"/>
  <c r="I100" i="17"/>
  <c r="J100" i="17"/>
  <c r="K100" i="17"/>
  <c r="AU100" i="17"/>
  <c r="F101" i="17"/>
  <c r="G101" i="17"/>
  <c r="I101" i="17"/>
  <c r="J101" i="17"/>
  <c r="K101" i="17"/>
  <c r="AU101" i="17"/>
  <c r="F102" i="17"/>
  <c r="G102" i="17"/>
  <c r="I102" i="17"/>
  <c r="J102" i="17"/>
  <c r="K102" i="17"/>
  <c r="AU102" i="17"/>
  <c r="F103" i="17"/>
  <c r="G103" i="17"/>
  <c r="I103" i="17"/>
  <c r="J103" i="17"/>
  <c r="K103" i="17"/>
  <c r="AU103" i="17"/>
  <c r="F104" i="17"/>
  <c r="G104" i="17"/>
  <c r="I104" i="17"/>
  <c r="J104" i="17"/>
  <c r="K104" i="17"/>
  <c r="AU104" i="17"/>
  <c r="F105" i="17"/>
  <c r="G105" i="17"/>
  <c r="I105" i="17"/>
  <c r="J105" i="17"/>
  <c r="K105" i="17"/>
  <c r="AU105" i="17"/>
  <c r="F106" i="17"/>
  <c r="G106" i="17"/>
  <c r="I106" i="17"/>
  <c r="J106" i="17"/>
  <c r="K106" i="17"/>
  <c r="AU106" i="17"/>
  <c r="F107" i="17"/>
  <c r="G107" i="17"/>
  <c r="I107" i="17"/>
  <c r="J107" i="17"/>
  <c r="K107" i="17"/>
  <c r="AU107" i="17"/>
  <c r="F108" i="17"/>
  <c r="G108" i="17"/>
  <c r="I108" i="17"/>
  <c r="J108" i="17"/>
  <c r="K108" i="17"/>
  <c r="AU108" i="17"/>
  <c r="F109" i="17"/>
  <c r="G109" i="17"/>
  <c r="I109" i="17"/>
  <c r="J109" i="17"/>
  <c r="K109" i="17"/>
  <c r="AU109" i="17"/>
  <c r="F110" i="17"/>
  <c r="G110" i="17"/>
  <c r="I110" i="17"/>
  <c r="J110" i="17"/>
  <c r="K110" i="17"/>
  <c r="AU110" i="17"/>
  <c r="F111" i="17"/>
  <c r="G111" i="17"/>
  <c r="I111" i="17"/>
  <c r="J111" i="17"/>
  <c r="K111" i="17"/>
  <c r="AU111" i="17"/>
  <c r="F112" i="17"/>
  <c r="G112" i="17"/>
  <c r="I112" i="17"/>
  <c r="J112" i="17"/>
  <c r="K112" i="17"/>
  <c r="AU112" i="17"/>
  <c r="F113" i="17"/>
  <c r="G113" i="17"/>
  <c r="I113" i="17"/>
  <c r="J113" i="17"/>
  <c r="K113" i="17"/>
  <c r="AU113" i="17"/>
  <c r="F114" i="17"/>
  <c r="G114" i="17"/>
  <c r="I114" i="17"/>
  <c r="J114" i="17"/>
  <c r="K114" i="17"/>
  <c r="AU114" i="17"/>
  <c r="F115" i="17"/>
  <c r="G115" i="17"/>
  <c r="I115" i="17"/>
  <c r="J115" i="17"/>
  <c r="K115" i="17"/>
  <c r="AU115" i="17"/>
  <c r="F116" i="17"/>
  <c r="G116" i="17"/>
  <c r="I116" i="17"/>
  <c r="J116" i="17"/>
  <c r="K116" i="17"/>
  <c r="AU116" i="17"/>
  <c r="F117" i="17"/>
  <c r="G117" i="17"/>
  <c r="I117" i="17"/>
  <c r="J117" i="17"/>
  <c r="K117" i="17"/>
  <c r="AU117" i="17"/>
  <c r="F118" i="17"/>
  <c r="G118" i="17"/>
  <c r="I118" i="17"/>
  <c r="J118" i="17"/>
  <c r="K118" i="17"/>
  <c r="AU118" i="17"/>
  <c r="F119" i="17"/>
  <c r="G119" i="17"/>
  <c r="I119" i="17"/>
  <c r="J119" i="17"/>
  <c r="K119" i="17"/>
  <c r="AU119" i="17"/>
  <c r="F120" i="17"/>
  <c r="G120" i="17"/>
  <c r="I120" i="17"/>
  <c r="J120" i="17"/>
  <c r="K120" i="17"/>
  <c r="AU120" i="17"/>
  <c r="F121" i="17"/>
  <c r="G121" i="17"/>
  <c r="I121" i="17"/>
  <c r="J121" i="17"/>
  <c r="K121" i="17"/>
  <c r="AU121" i="17"/>
  <c r="F122" i="17"/>
  <c r="G122" i="17"/>
  <c r="I122" i="17"/>
  <c r="J122" i="17"/>
  <c r="K122" i="17"/>
  <c r="AU122" i="17"/>
  <c r="F123" i="17"/>
  <c r="G123" i="17"/>
  <c r="I123" i="17"/>
  <c r="J123" i="17"/>
  <c r="K123" i="17"/>
  <c r="AU123" i="17"/>
  <c r="F124" i="17"/>
  <c r="G124" i="17"/>
  <c r="I124" i="17"/>
  <c r="J124" i="17"/>
  <c r="K124" i="17"/>
  <c r="AU124" i="17"/>
  <c r="F125" i="17"/>
  <c r="G125" i="17"/>
  <c r="I125" i="17"/>
  <c r="J125" i="17"/>
  <c r="K125" i="17"/>
  <c r="AU125" i="17"/>
  <c r="F126" i="17"/>
  <c r="G126" i="17"/>
  <c r="I126" i="17"/>
  <c r="J126" i="17"/>
  <c r="K126" i="17"/>
  <c r="AU126" i="17"/>
  <c r="F127" i="17"/>
  <c r="G127" i="17"/>
  <c r="I127" i="17"/>
  <c r="J127" i="17"/>
  <c r="K127" i="17"/>
  <c r="AU127" i="17"/>
  <c r="F128" i="17"/>
  <c r="G128" i="17"/>
  <c r="I128" i="17"/>
  <c r="J128" i="17"/>
  <c r="K128" i="17"/>
  <c r="AU128" i="17"/>
  <c r="F129" i="17"/>
  <c r="G129" i="17"/>
  <c r="I129" i="17"/>
  <c r="J129" i="17"/>
  <c r="K129" i="17"/>
  <c r="AU129" i="17"/>
  <c r="F130" i="17"/>
  <c r="G130" i="17"/>
  <c r="I130" i="17"/>
  <c r="J130" i="17"/>
  <c r="K130" i="17"/>
  <c r="AU130" i="17"/>
  <c r="F131" i="17"/>
  <c r="G131" i="17"/>
  <c r="I131" i="17"/>
  <c r="J131" i="17"/>
  <c r="K131" i="17"/>
  <c r="AU131" i="17"/>
  <c r="F132" i="17"/>
  <c r="G132" i="17"/>
  <c r="I132" i="17"/>
  <c r="J132" i="17"/>
  <c r="K132" i="17"/>
  <c r="AU132" i="17"/>
  <c r="F133" i="17"/>
  <c r="G133" i="17"/>
  <c r="I133" i="17"/>
  <c r="J133" i="17"/>
  <c r="K133" i="17"/>
  <c r="AU133" i="17"/>
  <c r="F134" i="17"/>
  <c r="G134" i="17"/>
  <c r="I134" i="17"/>
  <c r="J134" i="17"/>
  <c r="K134" i="17"/>
  <c r="AU134" i="17"/>
  <c r="F135" i="17"/>
  <c r="G135" i="17"/>
  <c r="I135" i="17"/>
  <c r="J135" i="17"/>
  <c r="K135" i="17"/>
  <c r="AU135" i="17"/>
  <c r="F136" i="17"/>
  <c r="G136" i="17"/>
  <c r="I136" i="17"/>
  <c r="J136" i="17"/>
  <c r="K136" i="17"/>
  <c r="AU136" i="17"/>
  <c r="F137" i="17"/>
  <c r="G137" i="17"/>
  <c r="I137" i="17"/>
  <c r="J137" i="17"/>
  <c r="K137" i="17"/>
  <c r="AU137" i="17"/>
  <c r="F138" i="17"/>
  <c r="G138" i="17"/>
  <c r="I138" i="17"/>
  <c r="J138" i="17"/>
  <c r="K138" i="17"/>
  <c r="AU138" i="17"/>
  <c r="F139" i="17"/>
  <c r="G139" i="17"/>
  <c r="I139" i="17"/>
  <c r="J139" i="17"/>
  <c r="K139" i="17"/>
  <c r="AU139" i="17"/>
  <c r="F140" i="17"/>
  <c r="G140" i="17"/>
  <c r="I140" i="17"/>
  <c r="J140" i="17"/>
  <c r="K140" i="17"/>
  <c r="AU140" i="17"/>
  <c r="F141" i="17"/>
  <c r="G141" i="17"/>
  <c r="I141" i="17"/>
  <c r="J141" i="17"/>
  <c r="K141" i="17"/>
  <c r="AU141" i="17"/>
  <c r="F142" i="17"/>
  <c r="G142" i="17"/>
  <c r="I142" i="17"/>
  <c r="J142" i="17"/>
  <c r="K142" i="17"/>
  <c r="AU142" i="17"/>
  <c r="F143" i="17"/>
  <c r="G143" i="17"/>
  <c r="I143" i="17"/>
  <c r="J143" i="17"/>
  <c r="K143" i="17"/>
  <c r="AU143" i="17"/>
  <c r="F144" i="17"/>
  <c r="G144" i="17"/>
  <c r="I144" i="17"/>
  <c r="J144" i="17"/>
  <c r="K144" i="17"/>
  <c r="AU144" i="17"/>
  <c r="F145" i="17"/>
  <c r="G145" i="17"/>
  <c r="I145" i="17"/>
  <c r="J145" i="17"/>
  <c r="K145" i="17"/>
  <c r="AU145" i="17"/>
  <c r="F146" i="17"/>
  <c r="G146" i="17"/>
  <c r="I146" i="17"/>
  <c r="J146" i="17"/>
  <c r="K146" i="17"/>
  <c r="AU146" i="17"/>
  <c r="F147" i="17"/>
  <c r="G147" i="17"/>
  <c r="I147" i="17"/>
  <c r="J147" i="17"/>
  <c r="K147" i="17"/>
  <c r="AU147" i="17"/>
  <c r="F148" i="17"/>
  <c r="G148" i="17"/>
  <c r="I148" i="17"/>
  <c r="J148" i="17"/>
  <c r="K148" i="17"/>
  <c r="AU148" i="17"/>
  <c r="F149" i="17"/>
  <c r="G149" i="17"/>
  <c r="I149" i="17"/>
  <c r="J149" i="17"/>
  <c r="K149" i="17"/>
  <c r="AU149" i="17"/>
  <c r="F150" i="17"/>
  <c r="G150" i="17"/>
  <c r="I150" i="17"/>
  <c r="J150" i="17"/>
  <c r="K150" i="17"/>
  <c r="AU150" i="17"/>
  <c r="F151" i="17"/>
  <c r="G151" i="17"/>
  <c r="I151" i="17"/>
  <c r="J151" i="17"/>
  <c r="K151" i="17"/>
  <c r="AU151" i="17"/>
  <c r="F152" i="17"/>
  <c r="G152" i="17"/>
  <c r="I152" i="17"/>
  <c r="J152" i="17"/>
  <c r="K152" i="17"/>
  <c r="AU152" i="17"/>
  <c r="F153" i="17"/>
  <c r="G153" i="17"/>
  <c r="I153" i="17"/>
  <c r="J153" i="17"/>
  <c r="K153" i="17"/>
  <c r="AU153" i="17"/>
  <c r="F154" i="17"/>
  <c r="G154" i="17"/>
  <c r="I154" i="17"/>
  <c r="J154" i="17"/>
  <c r="K154" i="17"/>
  <c r="AU154" i="17"/>
  <c r="F155" i="17"/>
  <c r="G155" i="17"/>
  <c r="I155" i="17"/>
  <c r="J155" i="17"/>
  <c r="K155" i="17"/>
  <c r="AU155" i="17"/>
  <c r="F156" i="17"/>
  <c r="G156" i="17"/>
  <c r="I156" i="17"/>
  <c r="J156" i="17"/>
  <c r="K156" i="17"/>
  <c r="AU156" i="17"/>
  <c r="F157" i="17"/>
  <c r="G157" i="17"/>
  <c r="I157" i="17"/>
  <c r="J157" i="17"/>
  <c r="K157" i="17"/>
  <c r="AU157" i="17"/>
  <c r="F158" i="17"/>
  <c r="G158" i="17"/>
  <c r="I158" i="17"/>
  <c r="J158" i="17"/>
  <c r="K158" i="17"/>
  <c r="AU158" i="17"/>
  <c r="F159" i="17"/>
  <c r="G159" i="17"/>
  <c r="I159" i="17"/>
  <c r="J159" i="17"/>
  <c r="K159" i="17"/>
  <c r="AU159" i="17"/>
  <c r="F160" i="17"/>
  <c r="G160" i="17"/>
  <c r="I160" i="17"/>
  <c r="J160" i="17"/>
  <c r="K160" i="17"/>
  <c r="AU160" i="17"/>
  <c r="F161" i="17"/>
  <c r="G161" i="17"/>
  <c r="I161" i="17"/>
  <c r="J161" i="17"/>
  <c r="K161" i="17"/>
  <c r="AU161" i="17"/>
  <c r="F162" i="17"/>
  <c r="G162" i="17"/>
  <c r="I162" i="17"/>
  <c r="J162" i="17"/>
  <c r="K162" i="17"/>
  <c r="AU162" i="17"/>
  <c r="F163" i="17"/>
  <c r="G163" i="17"/>
  <c r="I163" i="17"/>
  <c r="J163" i="17"/>
  <c r="K163" i="17"/>
  <c r="AU163" i="17"/>
  <c r="F164" i="17"/>
  <c r="G164" i="17"/>
  <c r="I164" i="17"/>
  <c r="J164" i="17"/>
  <c r="K164" i="17"/>
  <c r="AU164" i="17"/>
  <c r="F165" i="17"/>
  <c r="G165" i="17"/>
  <c r="I165" i="17"/>
  <c r="J165" i="17"/>
  <c r="K165" i="17"/>
  <c r="AU165" i="17"/>
  <c r="F166" i="17"/>
  <c r="G166" i="17"/>
  <c r="I166" i="17"/>
  <c r="J166" i="17"/>
  <c r="K166" i="17"/>
  <c r="AU166" i="17"/>
  <c r="F167" i="17"/>
  <c r="G167" i="17"/>
  <c r="I167" i="17"/>
  <c r="J167" i="17"/>
  <c r="K167" i="17"/>
  <c r="AU167" i="17"/>
  <c r="F168" i="17"/>
  <c r="G168" i="17"/>
  <c r="I168" i="17"/>
  <c r="J168" i="17"/>
  <c r="K168" i="17"/>
  <c r="AU168" i="17"/>
  <c r="F169" i="17"/>
  <c r="G169" i="17"/>
  <c r="I169" i="17"/>
  <c r="J169" i="17"/>
  <c r="K169" i="17"/>
  <c r="AU169" i="17"/>
  <c r="F170" i="17"/>
  <c r="G170" i="17"/>
  <c r="I170" i="17"/>
  <c r="J170" i="17"/>
  <c r="K170" i="17"/>
  <c r="AU170" i="17"/>
  <c r="F171" i="17"/>
  <c r="G171" i="17"/>
  <c r="I171" i="17"/>
  <c r="J171" i="17"/>
  <c r="K171" i="17"/>
  <c r="AU171" i="17"/>
  <c r="F172" i="17"/>
  <c r="G172" i="17"/>
  <c r="I172" i="17"/>
  <c r="J172" i="17"/>
  <c r="K172" i="17"/>
  <c r="AU172" i="17"/>
  <c r="F173" i="17"/>
  <c r="G173" i="17"/>
  <c r="I173" i="17"/>
  <c r="J173" i="17"/>
  <c r="K173" i="17"/>
  <c r="AU173" i="17"/>
  <c r="F174" i="17"/>
  <c r="G174" i="17"/>
  <c r="I174" i="17"/>
  <c r="J174" i="17"/>
  <c r="K174" i="17"/>
  <c r="AU174" i="17"/>
  <c r="F175" i="17"/>
  <c r="G175" i="17"/>
  <c r="I175" i="17"/>
  <c r="J175" i="17"/>
  <c r="K175" i="17"/>
  <c r="AU175" i="17"/>
  <c r="F176" i="17"/>
  <c r="G176" i="17"/>
  <c r="I176" i="17"/>
  <c r="J176" i="17"/>
  <c r="K176" i="17"/>
  <c r="AU176" i="17"/>
  <c r="F177" i="17"/>
  <c r="G177" i="17"/>
  <c r="I177" i="17"/>
  <c r="J177" i="17"/>
  <c r="K177" i="17"/>
  <c r="AU177" i="17"/>
  <c r="F178" i="17"/>
  <c r="G178" i="17"/>
  <c r="I178" i="17"/>
  <c r="J178" i="17"/>
  <c r="K178" i="17"/>
  <c r="AU178" i="17"/>
  <c r="F179" i="17"/>
  <c r="G179" i="17"/>
  <c r="I179" i="17"/>
  <c r="J179" i="17"/>
  <c r="K179" i="17"/>
  <c r="AU179" i="17"/>
  <c r="F180" i="17"/>
  <c r="G180" i="17"/>
  <c r="I180" i="17"/>
  <c r="J180" i="17"/>
  <c r="K180" i="17"/>
  <c r="AU180" i="17"/>
  <c r="F181" i="17"/>
  <c r="G181" i="17"/>
  <c r="I181" i="17"/>
  <c r="J181" i="17"/>
  <c r="K181" i="17"/>
  <c r="AU181" i="17"/>
  <c r="F182" i="17"/>
  <c r="G182" i="17"/>
  <c r="I182" i="17"/>
  <c r="J182" i="17"/>
  <c r="K182" i="17"/>
  <c r="AU182" i="17"/>
  <c r="F183" i="17"/>
  <c r="G183" i="17"/>
  <c r="I183" i="17"/>
  <c r="J183" i="17"/>
  <c r="K183" i="17"/>
  <c r="AU183" i="17"/>
  <c r="F184" i="17"/>
  <c r="G184" i="17"/>
  <c r="I184" i="17"/>
  <c r="J184" i="17"/>
  <c r="K184" i="17"/>
  <c r="AU184" i="17"/>
  <c r="F185" i="17"/>
  <c r="G185" i="17"/>
  <c r="I185" i="17"/>
  <c r="J185" i="17"/>
  <c r="K185" i="17"/>
  <c r="AU185" i="17"/>
  <c r="F186" i="17"/>
  <c r="G186" i="17"/>
  <c r="I186" i="17"/>
  <c r="J186" i="17"/>
  <c r="K186" i="17"/>
  <c r="AU186" i="17"/>
  <c r="F187" i="17"/>
  <c r="G187" i="17"/>
  <c r="I187" i="17"/>
  <c r="J187" i="17"/>
  <c r="K187" i="17"/>
  <c r="AU187" i="17"/>
  <c r="F188" i="17"/>
  <c r="G188" i="17"/>
  <c r="I188" i="17"/>
  <c r="J188" i="17"/>
  <c r="K188" i="17"/>
  <c r="AU188" i="17"/>
  <c r="F189" i="17"/>
  <c r="G189" i="17"/>
  <c r="I189" i="17"/>
  <c r="J189" i="17"/>
  <c r="K189" i="17"/>
  <c r="AU189" i="17"/>
  <c r="F190" i="17"/>
  <c r="G190" i="17"/>
  <c r="I190" i="17"/>
  <c r="J190" i="17"/>
  <c r="K190" i="17"/>
  <c r="AU190" i="17"/>
  <c r="F191" i="17"/>
  <c r="G191" i="17"/>
  <c r="I191" i="17"/>
  <c r="J191" i="17"/>
  <c r="K191" i="17"/>
  <c r="AU191" i="17"/>
  <c r="F192" i="17"/>
  <c r="G192" i="17"/>
  <c r="I192" i="17"/>
  <c r="J192" i="17"/>
  <c r="K192" i="17"/>
  <c r="AU192" i="17"/>
  <c r="F193" i="17"/>
  <c r="G193" i="17"/>
  <c r="I193" i="17"/>
  <c r="J193" i="17"/>
  <c r="K193" i="17"/>
  <c r="AU193" i="17"/>
  <c r="F194" i="17"/>
  <c r="G194" i="17"/>
  <c r="I194" i="17"/>
  <c r="J194" i="17"/>
  <c r="K194" i="17"/>
  <c r="AU194" i="17"/>
  <c r="F195" i="17"/>
  <c r="G195" i="17"/>
  <c r="I195" i="17"/>
  <c r="J195" i="17"/>
  <c r="K195" i="17"/>
  <c r="AU195" i="17"/>
  <c r="F196" i="17"/>
  <c r="G196" i="17"/>
  <c r="I196" i="17"/>
  <c r="J196" i="17"/>
  <c r="K196" i="17"/>
  <c r="AU196" i="17"/>
  <c r="F197" i="17"/>
  <c r="G197" i="17"/>
  <c r="I197" i="17"/>
  <c r="J197" i="17"/>
  <c r="K197" i="17"/>
  <c r="AU197" i="17"/>
  <c r="F198" i="17"/>
  <c r="G198" i="17"/>
  <c r="I198" i="17"/>
  <c r="J198" i="17"/>
  <c r="K198" i="17"/>
  <c r="AU198" i="17"/>
  <c r="F199" i="17"/>
  <c r="G199" i="17"/>
  <c r="I199" i="17"/>
  <c r="J199" i="17"/>
  <c r="K199" i="17"/>
  <c r="AU199" i="17"/>
  <c r="F200" i="17"/>
  <c r="G200" i="17"/>
  <c r="I200" i="17"/>
  <c r="J200" i="17"/>
  <c r="K200" i="17"/>
  <c r="AU200" i="17"/>
  <c r="F201" i="17"/>
  <c r="G201" i="17"/>
  <c r="I201" i="17"/>
  <c r="J201" i="17"/>
  <c r="K201" i="17"/>
  <c r="AU201" i="17"/>
  <c r="F202" i="17"/>
  <c r="G202" i="17"/>
  <c r="I202" i="17"/>
  <c r="J202" i="17"/>
  <c r="K202" i="17"/>
  <c r="AU202" i="17"/>
  <c r="F203" i="17"/>
  <c r="G203" i="17"/>
  <c r="I203" i="17"/>
  <c r="J203" i="17"/>
  <c r="K203" i="17"/>
  <c r="AU203" i="17"/>
  <c r="F204" i="17"/>
  <c r="G204" i="17"/>
  <c r="I204" i="17"/>
  <c r="J204" i="17"/>
  <c r="K204" i="17"/>
  <c r="AU204" i="17"/>
  <c r="F205" i="17"/>
  <c r="G205" i="17"/>
  <c r="I205" i="17"/>
  <c r="J205" i="17"/>
  <c r="K205" i="17"/>
  <c r="AU205" i="17"/>
  <c r="F206" i="17"/>
  <c r="G206" i="17"/>
  <c r="I206" i="17"/>
  <c r="J206" i="17"/>
  <c r="K206" i="17"/>
  <c r="AU206" i="17"/>
  <c r="F207" i="17"/>
  <c r="G207" i="17"/>
  <c r="I207" i="17"/>
  <c r="J207" i="17"/>
  <c r="K207" i="17"/>
  <c r="AU207" i="17"/>
  <c r="F208" i="17"/>
  <c r="G208" i="17"/>
  <c r="I208" i="17"/>
  <c r="J208" i="17"/>
  <c r="K208" i="17"/>
  <c r="AU208" i="17"/>
  <c r="F209" i="17"/>
  <c r="G209" i="17"/>
  <c r="I209" i="17"/>
  <c r="J209" i="17"/>
  <c r="K209" i="17"/>
  <c r="AU209" i="17"/>
  <c r="F210" i="17"/>
  <c r="G210" i="17"/>
  <c r="I210" i="17"/>
  <c r="J210" i="17"/>
  <c r="K210" i="17"/>
  <c r="AU210" i="17"/>
  <c r="F211" i="17"/>
  <c r="G211" i="17"/>
  <c r="I211" i="17"/>
  <c r="J211" i="17"/>
  <c r="K211" i="17"/>
  <c r="AU211" i="17"/>
  <c r="F212" i="17"/>
  <c r="G212" i="17"/>
  <c r="I212" i="17"/>
  <c r="J212" i="17"/>
  <c r="K212" i="17"/>
  <c r="AU212" i="17"/>
  <c r="F213" i="17"/>
  <c r="G213" i="17"/>
  <c r="I213" i="17"/>
  <c r="J213" i="17"/>
  <c r="K213" i="17"/>
  <c r="AU213" i="17"/>
  <c r="F214" i="17"/>
  <c r="G214" i="17"/>
  <c r="I214" i="17"/>
  <c r="J214" i="17"/>
  <c r="K214" i="17"/>
  <c r="AU214" i="17"/>
  <c r="F215" i="17"/>
  <c r="G215" i="17"/>
  <c r="I215" i="17"/>
  <c r="J215" i="17"/>
  <c r="K215" i="17"/>
  <c r="AU215" i="17"/>
  <c r="F216" i="17"/>
  <c r="G216" i="17"/>
  <c r="I216" i="17"/>
  <c r="J216" i="17"/>
  <c r="K216" i="17"/>
  <c r="AU216" i="17"/>
  <c r="F217" i="17"/>
  <c r="G217" i="17"/>
  <c r="I217" i="17"/>
  <c r="J217" i="17"/>
  <c r="K217" i="17"/>
  <c r="AU217" i="17"/>
  <c r="F218" i="17"/>
  <c r="G218" i="17"/>
  <c r="I218" i="17"/>
  <c r="J218" i="17"/>
  <c r="K218" i="17"/>
  <c r="AU218" i="17"/>
  <c r="F219" i="17"/>
  <c r="G219" i="17"/>
  <c r="I219" i="17"/>
  <c r="J219" i="17"/>
  <c r="K219" i="17"/>
  <c r="AU219" i="17"/>
  <c r="F220" i="17"/>
  <c r="G220" i="17"/>
  <c r="I220" i="17"/>
  <c r="J220" i="17"/>
  <c r="K220" i="17"/>
  <c r="AU220" i="17"/>
  <c r="F221" i="17"/>
  <c r="G221" i="17"/>
  <c r="I221" i="17"/>
  <c r="J221" i="17"/>
  <c r="K221" i="17"/>
  <c r="AU221" i="17"/>
  <c r="F222" i="17"/>
  <c r="G222" i="17"/>
  <c r="I222" i="17"/>
  <c r="J222" i="17"/>
  <c r="K222" i="17"/>
  <c r="AU222" i="17"/>
  <c r="F223" i="17"/>
  <c r="G223" i="17"/>
  <c r="I223" i="17"/>
  <c r="J223" i="17"/>
  <c r="K223" i="17"/>
  <c r="AU223" i="17"/>
  <c r="F224" i="17"/>
  <c r="G224" i="17"/>
  <c r="I224" i="17"/>
  <c r="J224" i="17"/>
  <c r="K224" i="17"/>
  <c r="AU224" i="17"/>
  <c r="F225" i="17"/>
  <c r="G225" i="17"/>
  <c r="I225" i="17"/>
  <c r="J225" i="17"/>
  <c r="K225" i="17"/>
  <c r="AU225" i="17"/>
  <c r="F226" i="17"/>
  <c r="G226" i="17"/>
  <c r="I226" i="17"/>
  <c r="J226" i="17"/>
  <c r="K226" i="17"/>
  <c r="AU226" i="17"/>
  <c r="F227" i="17"/>
  <c r="G227" i="17"/>
  <c r="I227" i="17"/>
  <c r="J227" i="17"/>
  <c r="K227" i="17"/>
  <c r="AU227" i="17"/>
  <c r="F228" i="17"/>
  <c r="G228" i="17"/>
  <c r="I228" i="17"/>
  <c r="J228" i="17"/>
  <c r="K228" i="17"/>
  <c r="AU228" i="17"/>
  <c r="F229" i="17"/>
  <c r="G229" i="17"/>
  <c r="I229" i="17"/>
  <c r="J229" i="17"/>
  <c r="K229" i="17"/>
  <c r="AU229" i="17"/>
  <c r="F230" i="17"/>
  <c r="G230" i="17"/>
  <c r="I230" i="17"/>
  <c r="J230" i="17"/>
  <c r="K230" i="17"/>
  <c r="AU230" i="17"/>
  <c r="F231" i="17"/>
  <c r="G231" i="17"/>
  <c r="I231" i="17"/>
  <c r="J231" i="17"/>
  <c r="K231" i="17"/>
  <c r="AU231" i="17"/>
  <c r="F232" i="17"/>
  <c r="G232" i="17"/>
  <c r="I232" i="17"/>
  <c r="J232" i="17"/>
  <c r="K232" i="17"/>
  <c r="AU232" i="17"/>
  <c r="F233" i="17"/>
  <c r="G233" i="17"/>
  <c r="I233" i="17"/>
  <c r="J233" i="17"/>
  <c r="K233" i="17"/>
  <c r="AU233" i="17"/>
  <c r="F234" i="17"/>
  <c r="G234" i="17"/>
  <c r="I234" i="17"/>
  <c r="J234" i="17"/>
  <c r="K234" i="17"/>
  <c r="AU234" i="17"/>
  <c r="F235" i="17"/>
  <c r="G235" i="17"/>
  <c r="I235" i="17"/>
  <c r="J235" i="17"/>
  <c r="K235" i="17"/>
  <c r="AU235" i="17"/>
  <c r="F236" i="17"/>
  <c r="G236" i="17"/>
  <c r="I236" i="17"/>
  <c r="J236" i="17"/>
  <c r="K236" i="17"/>
  <c r="AU236" i="17"/>
  <c r="F237" i="17"/>
  <c r="G237" i="17"/>
  <c r="I237" i="17"/>
  <c r="J237" i="17"/>
  <c r="K237" i="17"/>
  <c r="AU237" i="17"/>
  <c r="F238" i="17"/>
  <c r="G238" i="17"/>
  <c r="I238" i="17"/>
  <c r="J238" i="17"/>
  <c r="K238" i="17"/>
  <c r="AU238" i="17"/>
  <c r="F239" i="17"/>
  <c r="G239" i="17"/>
  <c r="I239" i="17"/>
  <c r="J239" i="17"/>
  <c r="K239" i="17"/>
  <c r="AU239" i="17"/>
  <c r="F240" i="17"/>
  <c r="G240" i="17"/>
  <c r="I240" i="17"/>
  <c r="J240" i="17"/>
  <c r="K240" i="17"/>
  <c r="AU240" i="17"/>
  <c r="F241" i="17"/>
  <c r="G241" i="17"/>
  <c r="I241" i="17"/>
  <c r="J241" i="17"/>
  <c r="K241" i="17"/>
  <c r="AU241" i="17"/>
  <c r="F242" i="17"/>
  <c r="G242" i="17"/>
  <c r="I242" i="17"/>
  <c r="J242" i="17"/>
  <c r="K242" i="17"/>
  <c r="AU242" i="17"/>
  <c r="F243" i="17"/>
  <c r="G243" i="17"/>
  <c r="I243" i="17"/>
  <c r="J243" i="17"/>
  <c r="K243" i="17"/>
  <c r="AU243" i="17"/>
  <c r="F244" i="17"/>
  <c r="G244" i="17"/>
  <c r="I244" i="17"/>
  <c r="J244" i="17"/>
  <c r="K244" i="17"/>
  <c r="AU244" i="17"/>
  <c r="F245" i="17"/>
  <c r="G245" i="17"/>
  <c r="I245" i="17"/>
  <c r="J245" i="17"/>
  <c r="K245" i="17"/>
  <c r="AU245" i="17"/>
  <c r="F246" i="17"/>
  <c r="G246" i="17"/>
  <c r="I246" i="17"/>
  <c r="J246" i="17"/>
  <c r="K246" i="17"/>
  <c r="AU246" i="17"/>
  <c r="F247" i="17"/>
  <c r="G247" i="17"/>
  <c r="I247" i="17"/>
  <c r="J247" i="17"/>
  <c r="K247" i="17"/>
  <c r="AU247" i="17"/>
  <c r="F248" i="17"/>
  <c r="G248" i="17"/>
  <c r="I248" i="17"/>
  <c r="J248" i="17"/>
  <c r="K248" i="17"/>
  <c r="AU248" i="17"/>
  <c r="F249" i="17"/>
  <c r="G249" i="17"/>
  <c r="I249" i="17"/>
  <c r="J249" i="17"/>
  <c r="K249" i="17"/>
  <c r="AU249" i="17"/>
  <c r="F250" i="17"/>
  <c r="G250" i="17"/>
  <c r="I250" i="17"/>
  <c r="J250" i="17"/>
  <c r="K250" i="17"/>
  <c r="AU250" i="17"/>
  <c r="F251" i="17"/>
  <c r="G251" i="17"/>
  <c r="I251" i="17"/>
  <c r="J251" i="17"/>
  <c r="K251" i="17"/>
  <c r="AU251" i="17"/>
  <c r="F252" i="17"/>
  <c r="G252" i="17"/>
  <c r="I252" i="17"/>
  <c r="J252" i="17"/>
  <c r="K252" i="17"/>
  <c r="AU252" i="17"/>
  <c r="F253" i="17"/>
  <c r="G253" i="17"/>
  <c r="I253" i="17"/>
  <c r="J253" i="17"/>
  <c r="K253" i="17"/>
  <c r="AU253" i="17"/>
  <c r="F254" i="17"/>
  <c r="G254" i="17"/>
  <c r="I254" i="17"/>
  <c r="J254" i="17"/>
  <c r="K254" i="17"/>
  <c r="AU254" i="17"/>
  <c r="F255" i="17"/>
  <c r="G255" i="17"/>
  <c r="I255" i="17"/>
  <c r="J255" i="17"/>
  <c r="K255" i="17"/>
  <c r="AU255" i="17"/>
  <c r="F256" i="17"/>
  <c r="G256" i="17"/>
  <c r="I256" i="17"/>
  <c r="J256" i="17"/>
  <c r="K256" i="17"/>
  <c r="AU256" i="17"/>
  <c r="F257" i="17"/>
  <c r="G257" i="17"/>
  <c r="I257" i="17"/>
  <c r="J257" i="17"/>
  <c r="K257" i="17"/>
  <c r="AU257" i="17"/>
  <c r="F258" i="17"/>
  <c r="G258" i="17"/>
  <c r="I258" i="17"/>
  <c r="J258" i="17"/>
  <c r="K258" i="17"/>
  <c r="AU258" i="17"/>
  <c r="F259" i="17"/>
  <c r="G259" i="17"/>
  <c r="I259" i="17"/>
  <c r="J259" i="17"/>
  <c r="K259" i="17"/>
  <c r="AU259" i="17"/>
  <c r="F260" i="17"/>
  <c r="G260" i="17"/>
  <c r="I260" i="17"/>
  <c r="J260" i="17"/>
  <c r="K260" i="17"/>
  <c r="AU260" i="17"/>
  <c r="F261" i="17"/>
  <c r="G261" i="17"/>
  <c r="I261" i="17"/>
  <c r="J261" i="17"/>
  <c r="K261" i="17"/>
  <c r="AU261" i="17"/>
  <c r="F262" i="17"/>
  <c r="G262" i="17"/>
  <c r="I262" i="17"/>
  <c r="J262" i="17"/>
  <c r="K262" i="17"/>
  <c r="AU262" i="17"/>
  <c r="F263" i="17"/>
  <c r="G263" i="17"/>
  <c r="I263" i="17"/>
  <c r="J263" i="17"/>
  <c r="K263" i="17"/>
  <c r="AU263" i="17"/>
  <c r="F264" i="17"/>
  <c r="G264" i="17"/>
  <c r="I264" i="17"/>
  <c r="J264" i="17"/>
  <c r="K264" i="17"/>
  <c r="AU264" i="17"/>
  <c r="F265" i="17"/>
  <c r="G265" i="17"/>
  <c r="I265" i="17"/>
  <c r="J265" i="17"/>
  <c r="K265" i="17"/>
  <c r="AU265" i="17"/>
  <c r="F266" i="17"/>
  <c r="G266" i="17"/>
  <c r="I266" i="17"/>
  <c r="J266" i="17"/>
  <c r="K266" i="17"/>
  <c r="AU266" i="17"/>
  <c r="F267" i="17"/>
  <c r="G267" i="17"/>
  <c r="I267" i="17"/>
  <c r="J267" i="17"/>
  <c r="K267" i="17"/>
  <c r="AU267" i="17"/>
  <c r="F268" i="17"/>
  <c r="G268" i="17"/>
  <c r="I268" i="17"/>
  <c r="J268" i="17"/>
  <c r="K268" i="17"/>
  <c r="AU268" i="17"/>
  <c r="F269" i="17"/>
  <c r="G269" i="17"/>
  <c r="I269" i="17"/>
  <c r="J269" i="17"/>
  <c r="K269" i="17"/>
  <c r="AU269" i="17"/>
  <c r="F270" i="17"/>
  <c r="G270" i="17"/>
  <c r="I270" i="17"/>
  <c r="J270" i="17"/>
  <c r="K270" i="17"/>
  <c r="AU270" i="17"/>
  <c r="F271" i="17"/>
  <c r="G271" i="17"/>
  <c r="I271" i="17"/>
  <c r="J271" i="17"/>
  <c r="K271" i="17"/>
  <c r="AU271" i="17"/>
  <c r="F272" i="17"/>
  <c r="G272" i="17"/>
  <c r="I272" i="17"/>
  <c r="J272" i="17"/>
  <c r="K272" i="17"/>
  <c r="AU272" i="17"/>
  <c r="F273" i="17"/>
  <c r="G273" i="17"/>
  <c r="I273" i="17"/>
  <c r="J273" i="17"/>
  <c r="K273" i="17"/>
  <c r="AU273" i="17"/>
  <c r="F274" i="17"/>
  <c r="G274" i="17"/>
  <c r="I274" i="17"/>
  <c r="J274" i="17"/>
  <c r="K274" i="17"/>
  <c r="AU274" i="17"/>
  <c r="F275" i="17"/>
  <c r="G275" i="17"/>
  <c r="I275" i="17"/>
  <c r="J275" i="17"/>
  <c r="K275" i="17"/>
  <c r="AU275" i="17"/>
  <c r="F276" i="17"/>
  <c r="G276" i="17"/>
  <c r="I276" i="17"/>
  <c r="J276" i="17"/>
  <c r="K276" i="17"/>
  <c r="AU276" i="17"/>
  <c r="F277" i="17"/>
  <c r="G277" i="17"/>
  <c r="I277" i="17"/>
  <c r="J277" i="17"/>
  <c r="K277" i="17"/>
  <c r="AU277" i="17"/>
  <c r="F278" i="17"/>
  <c r="G278" i="17"/>
  <c r="I278" i="17"/>
  <c r="J278" i="17"/>
  <c r="K278" i="17"/>
  <c r="AU278" i="17"/>
  <c r="F279" i="17"/>
  <c r="G279" i="17"/>
  <c r="I279" i="17"/>
  <c r="J279" i="17"/>
  <c r="K279" i="17"/>
  <c r="AU279" i="17"/>
  <c r="F280" i="17"/>
  <c r="G280" i="17"/>
  <c r="I280" i="17"/>
  <c r="J280" i="17"/>
  <c r="K280" i="17"/>
  <c r="AU280" i="17"/>
  <c r="F281" i="17"/>
  <c r="G281" i="17"/>
  <c r="I281" i="17"/>
  <c r="J281" i="17"/>
  <c r="K281" i="17"/>
  <c r="AU281" i="17"/>
  <c r="F282" i="17"/>
  <c r="G282" i="17"/>
  <c r="I282" i="17"/>
  <c r="J282" i="17"/>
  <c r="K282" i="17"/>
  <c r="AU282" i="17"/>
  <c r="F283" i="17"/>
  <c r="G283" i="17"/>
  <c r="I283" i="17"/>
  <c r="J283" i="17"/>
  <c r="K283" i="17"/>
  <c r="AU283" i="17"/>
  <c r="F284" i="17"/>
  <c r="G284" i="17"/>
  <c r="I284" i="17"/>
  <c r="J284" i="17"/>
  <c r="K284" i="17"/>
  <c r="AU284" i="17"/>
  <c r="F285" i="17"/>
  <c r="G285" i="17"/>
  <c r="I285" i="17"/>
  <c r="J285" i="17"/>
  <c r="K285" i="17"/>
  <c r="AU285" i="17"/>
  <c r="F286" i="17"/>
  <c r="G286" i="17"/>
  <c r="I286" i="17"/>
  <c r="J286" i="17"/>
  <c r="K286" i="17"/>
  <c r="AU286" i="17"/>
  <c r="F287" i="17"/>
  <c r="G287" i="17"/>
  <c r="I287" i="17"/>
  <c r="J287" i="17"/>
  <c r="K287" i="17"/>
  <c r="AU287" i="17"/>
  <c r="F288" i="17"/>
  <c r="G288" i="17"/>
  <c r="I288" i="17"/>
  <c r="J288" i="17"/>
  <c r="K288" i="17"/>
  <c r="AU288" i="17"/>
  <c r="F289" i="17"/>
  <c r="G289" i="17"/>
  <c r="I289" i="17"/>
  <c r="J289" i="17"/>
  <c r="K289" i="17"/>
  <c r="AU289" i="17"/>
  <c r="F290" i="17"/>
  <c r="G290" i="17"/>
  <c r="I290" i="17"/>
  <c r="J290" i="17"/>
  <c r="K290" i="17"/>
  <c r="AU290" i="17"/>
  <c r="F291" i="17"/>
  <c r="G291" i="17"/>
  <c r="I291" i="17"/>
  <c r="J291" i="17"/>
  <c r="K291" i="17"/>
  <c r="AU291" i="17"/>
  <c r="F292" i="17"/>
  <c r="G292" i="17"/>
  <c r="I292" i="17"/>
  <c r="J292" i="17"/>
  <c r="K292" i="17"/>
  <c r="AU292" i="17"/>
  <c r="F293" i="17"/>
  <c r="G293" i="17"/>
  <c r="I293" i="17"/>
  <c r="J293" i="17"/>
  <c r="K293" i="17"/>
  <c r="AU293" i="17"/>
  <c r="F294" i="17"/>
  <c r="G294" i="17"/>
  <c r="I294" i="17"/>
  <c r="J294" i="17"/>
  <c r="K294" i="17"/>
  <c r="AU294" i="17"/>
  <c r="F295" i="17"/>
  <c r="G295" i="17"/>
  <c r="I295" i="17"/>
  <c r="J295" i="17"/>
  <c r="K295" i="17"/>
  <c r="AU295" i="17"/>
  <c r="F296" i="17"/>
  <c r="G296" i="17"/>
  <c r="I296" i="17"/>
  <c r="J296" i="17"/>
  <c r="K296" i="17"/>
  <c r="AU296" i="17"/>
  <c r="F297" i="17"/>
  <c r="G297" i="17"/>
  <c r="I297" i="17"/>
  <c r="J297" i="17"/>
  <c r="K297" i="17"/>
  <c r="AU297" i="17"/>
  <c r="F298" i="17"/>
  <c r="G298" i="17"/>
  <c r="I298" i="17"/>
  <c r="J298" i="17"/>
  <c r="K298" i="17"/>
  <c r="AU298" i="17"/>
  <c r="F299" i="17"/>
  <c r="G299" i="17"/>
  <c r="I299" i="17"/>
  <c r="J299" i="17"/>
  <c r="K299" i="17"/>
  <c r="AU299" i="17"/>
  <c r="F300" i="17"/>
  <c r="G300" i="17"/>
  <c r="I300" i="17"/>
  <c r="J300" i="17"/>
  <c r="K300" i="17"/>
  <c r="AU300" i="17"/>
  <c r="F301" i="17"/>
  <c r="G301" i="17"/>
  <c r="I301" i="17"/>
  <c r="J301" i="17"/>
  <c r="K301" i="17"/>
  <c r="AU301" i="17"/>
  <c r="F302" i="17"/>
  <c r="G302" i="17"/>
  <c r="I302" i="17"/>
  <c r="J302" i="17"/>
  <c r="K302" i="17"/>
  <c r="AU302" i="17"/>
  <c r="F303" i="17"/>
  <c r="G303" i="17"/>
  <c r="I303" i="17"/>
  <c r="J303" i="17"/>
  <c r="K303" i="17"/>
  <c r="AU303" i="17"/>
  <c r="F304" i="17"/>
  <c r="G304" i="17"/>
  <c r="I304" i="17"/>
  <c r="J304" i="17"/>
  <c r="K304" i="17"/>
  <c r="AU304" i="17"/>
  <c r="F305" i="17"/>
  <c r="G305" i="17"/>
  <c r="I305" i="17"/>
  <c r="J305" i="17"/>
  <c r="K305" i="17"/>
  <c r="AU305" i="17"/>
  <c r="F306" i="17"/>
  <c r="G306" i="17"/>
  <c r="I306" i="17"/>
  <c r="J306" i="17"/>
  <c r="K306" i="17"/>
  <c r="AU306" i="17"/>
  <c r="F307" i="17"/>
  <c r="G307" i="17"/>
  <c r="I307" i="17"/>
  <c r="J307" i="17"/>
  <c r="K307" i="17"/>
  <c r="AU307" i="17"/>
  <c r="F308" i="17"/>
  <c r="G308" i="17"/>
  <c r="I308" i="17"/>
  <c r="J308" i="17"/>
  <c r="K308" i="17"/>
  <c r="AU308" i="17"/>
  <c r="F309" i="17"/>
  <c r="G309" i="17"/>
  <c r="I309" i="17"/>
  <c r="J309" i="17"/>
  <c r="K309" i="17"/>
  <c r="AU309" i="17"/>
  <c r="F310" i="17"/>
  <c r="G310" i="17"/>
  <c r="I310" i="17"/>
  <c r="J310" i="17"/>
  <c r="K310" i="17"/>
  <c r="AU310" i="17"/>
  <c r="F311" i="17"/>
  <c r="G311" i="17"/>
  <c r="I311" i="17"/>
  <c r="J311" i="17"/>
  <c r="K311" i="17"/>
  <c r="AU311" i="17"/>
  <c r="F312" i="17"/>
  <c r="G312" i="17"/>
  <c r="I312" i="17"/>
  <c r="J312" i="17"/>
  <c r="K312" i="17"/>
  <c r="AU312" i="17"/>
  <c r="F313" i="17"/>
  <c r="G313" i="17"/>
  <c r="I313" i="17"/>
  <c r="J313" i="17"/>
  <c r="K313" i="17"/>
  <c r="AU313" i="17"/>
  <c r="F314" i="17"/>
  <c r="G314" i="17"/>
  <c r="I314" i="17"/>
  <c r="J314" i="17"/>
  <c r="K314" i="17"/>
  <c r="AU314" i="17"/>
  <c r="F315" i="17"/>
  <c r="G315" i="17"/>
  <c r="I315" i="17"/>
  <c r="J315" i="17"/>
  <c r="K315" i="17"/>
  <c r="AU315" i="17"/>
  <c r="F316" i="17"/>
  <c r="G316" i="17"/>
  <c r="I316" i="17"/>
  <c r="J316" i="17"/>
  <c r="K316" i="17"/>
  <c r="AU316" i="17"/>
  <c r="F317" i="17"/>
  <c r="G317" i="17"/>
  <c r="I317" i="17"/>
  <c r="J317" i="17"/>
  <c r="K317" i="17"/>
  <c r="AU317" i="17"/>
  <c r="F318" i="17"/>
  <c r="G318" i="17"/>
  <c r="I318" i="17"/>
  <c r="J318" i="17"/>
  <c r="K318" i="17"/>
  <c r="AU318" i="17"/>
  <c r="F319" i="17"/>
  <c r="G319" i="17"/>
  <c r="I319" i="17"/>
  <c r="J319" i="17"/>
  <c r="K319" i="17"/>
  <c r="AU319" i="17"/>
  <c r="F320" i="17"/>
  <c r="G320" i="17"/>
  <c r="I320" i="17"/>
  <c r="J320" i="17"/>
  <c r="K320" i="17"/>
  <c r="AU320" i="17"/>
  <c r="F321" i="17"/>
  <c r="G321" i="17"/>
  <c r="I321" i="17"/>
  <c r="J321" i="17"/>
  <c r="K321" i="17"/>
  <c r="AU321" i="17"/>
  <c r="F322" i="17"/>
  <c r="G322" i="17"/>
  <c r="I322" i="17"/>
  <c r="J322" i="17"/>
  <c r="K322" i="17"/>
  <c r="AU322" i="17"/>
  <c r="F323" i="17"/>
  <c r="G323" i="17"/>
  <c r="I323" i="17"/>
  <c r="J323" i="17"/>
  <c r="K323" i="17"/>
  <c r="AU323" i="17"/>
  <c r="F324" i="17"/>
  <c r="G324" i="17"/>
  <c r="I324" i="17"/>
  <c r="J324" i="17"/>
  <c r="K324" i="17"/>
  <c r="AU324" i="17"/>
  <c r="F325" i="17"/>
  <c r="G325" i="17"/>
  <c r="I325" i="17"/>
  <c r="J325" i="17"/>
  <c r="K325" i="17"/>
  <c r="AU325" i="17"/>
  <c r="F326" i="17"/>
  <c r="G326" i="17"/>
  <c r="I326" i="17"/>
  <c r="J326" i="17"/>
  <c r="K326" i="17"/>
  <c r="AU326" i="17"/>
  <c r="F327" i="17"/>
  <c r="G327" i="17"/>
  <c r="I327" i="17"/>
  <c r="J327" i="17"/>
  <c r="K327" i="17"/>
  <c r="AU327" i="17"/>
  <c r="F328" i="17"/>
  <c r="G328" i="17"/>
  <c r="I328" i="17"/>
  <c r="J328" i="17"/>
  <c r="K328" i="17"/>
  <c r="AU328" i="17"/>
  <c r="F329" i="17"/>
  <c r="G329" i="17"/>
  <c r="I329" i="17"/>
  <c r="J329" i="17"/>
  <c r="K329" i="17"/>
  <c r="AU329" i="17"/>
  <c r="F330" i="17"/>
  <c r="G330" i="17"/>
  <c r="I330" i="17"/>
  <c r="J330" i="17"/>
  <c r="K330" i="17"/>
  <c r="AU330" i="17"/>
  <c r="F331" i="17"/>
  <c r="G331" i="17"/>
  <c r="I331" i="17"/>
  <c r="J331" i="17"/>
  <c r="K331" i="17"/>
  <c r="AU331" i="17"/>
  <c r="F332" i="17"/>
  <c r="G332" i="17"/>
  <c r="I332" i="17"/>
  <c r="J332" i="17"/>
  <c r="K332" i="17"/>
  <c r="AU332" i="17"/>
  <c r="F333" i="17"/>
  <c r="G333" i="17"/>
  <c r="I333" i="17"/>
  <c r="J333" i="17"/>
  <c r="K333" i="17"/>
  <c r="AU333" i="17"/>
  <c r="F334" i="17"/>
  <c r="G334" i="17"/>
  <c r="I334" i="17"/>
  <c r="J334" i="17"/>
  <c r="K334" i="17"/>
  <c r="AU334" i="17"/>
  <c r="F335" i="17"/>
  <c r="G335" i="17"/>
  <c r="I335" i="17"/>
  <c r="J335" i="17"/>
  <c r="K335" i="17"/>
  <c r="AU335" i="17"/>
  <c r="F336" i="17"/>
  <c r="G336" i="17"/>
  <c r="I336" i="17"/>
  <c r="J336" i="17"/>
  <c r="K336" i="17"/>
  <c r="AU336" i="17"/>
  <c r="F337" i="17"/>
  <c r="G337" i="17"/>
  <c r="I337" i="17"/>
  <c r="J337" i="17"/>
  <c r="K337" i="17"/>
  <c r="AU337" i="17"/>
  <c r="F338" i="17"/>
  <c r="G338" i="17"/>
  <c r="I338" i="17"/>
  <c r="J338" i="17"/>
  <c r="K338" i="17"/>
  <c r="AU338" i="17"/>
  <c r="F339" i="17"/>
  <c r="G339" i="17"/>
  <c r="I339" i="17"/>
  <c r="J339" i="17"/>
  <c r="K339" i="17"/>
  <c r="AU339" i="17"/>
  <c r="F340" i="17"/>
  <c r="G340" i="17"/>
  <c r="I340" i="17"/>
  <c r="J340" i="17"/>
  <c r="K340" i="17"/>
  <c r="AU340" i="17"/>
  <c r="F341" i="17"/>
  <c r="G341" i="17"/>
  <c r="I341" i="17"/>
  <c r="J341" i="17"/>
  <c r="K341" i="17"/>
  <c r="AU341" i="17"/>
  <c r="F342" i="17"/>
  <c r="G342" i="17"/>
  <c r="I342" i="17"/>
  <c r="J342" i="17"/>
  <c r="K342" i="17"/>
  <c r="AU342" i="17"/>
  <c r="F343" i="17"/>
  <c r="G343" i="17"/>
  <c r="I343" i="17"/>
  <c r="J343" i="17"/>
  <c r="K343" i="17"/>
  <c r="AU343" i="17"/>
  <c r="F344" i="17"/>
  <c r="G344" i="17"/>
  <c r="I344" i="17"/>
  <c r="J344" i="17"/>
  <c r="K344" i="17"/>
  <c r="AU344" i="17"/>
  <c r="F345" i="17"/>
  <c r="G345" i="17"/>
  <c r="I345" i="17"/>
  <c r="J345" i="17"/>
  <c r="K345" i="17"/>
  <c r="AU345" i="17"/>
  <c r="F346" i="17"/>
  <c r="G346" i="17"/>
  <c r="I346" i="17"/>
  <c r="J346" i="17"/>
  <c r="K346" i="17"/>
  <c r="AU346" i="17"/>
  <c r="F347" i="17"/>
  <c r="G347" i="17"/>
  <c r="I347" i="17"/>
  <c r="J347" i="17"/>
  <c r="K347" i="17"/>
  <c r="AU347" i="17"/>
  <c r="F348" i="17"/>
  <c r="G348" i="17"/>
  <c r="I348" i="17"/>
  <c r="J348" i="17"/>
  <c r="K348" i="17"/>
  <c r="AU348" i="17"/>
  <c r="F349" i="17"/>
  <c r="G349" i="17"/>
  <c r="I349" i="17"/>
  <c r="J349" i="17"/>
  <c r="K349" i="17"/>
  <c r="AU349" i="17"/>
  <c r="F350" i="17"/>
  <c r="G350" i="17"/>
  <c r="I350" i="17"/>
  <c r="J350" i="17"/>
  <c r="K350" i="17"/>
  <c r="AU350" i="17"/>
  <c r="F351" i="17"/>
  <c r="G351" i="17"/>
  <c r="I351" i="17"/>
  <c r="J351" i="17"/>
  <c r="K351" i="17"/>
  <c r="AU351" i="17"/>
  <c r="F352" i="17"/>
  <c r="G352" i="17"/>
  <c r="I352" i="17"/>
  <c r="J352" i="17"/>
  <c r="K352" i="17"/>
  <c r="AU352" i="17"/>
  <c r="F353" i="17"/>
  <c r="G353" i="17"/>
  <c r="I353" i="17"/>
  <c r="J353" i="17"/>
  <c r="K353" i="17"/>
  <c r="AU353" i="17"/>
  <c r="F354" i="17"/>
  <c r="G354" i="17"/>
  <c r="I354" i="17"/>
  <c r="J354" i="17"/>
  <c r="K354" i="17"/>
  <c r="AU354" i="17"/>
  <c r="F355" i="17"/>
  <c r="G355" i="17"/>
  <c r="I355" i="17"/>
  <c r="J355" i="17"/>
  <c r="K355" i="17"/>
  <c r="AU355" i="17"/>
  <c r="F356" i="17"/>
  <c r="G356" i="17"/>
  <c r="I356" i="17"/>
  <c r="J356" i="17"/>
  <c r="K356" i="17"/>
  <c r="AU356" i="17"/>
  <c r="F357" i="17"/>
  <c r="G357" i="17"/>
  <c r="I357" i="17"/>
  <c r="J357" i="17"/>
  <c r="K357" i="17"/>
  <c r="AU357" i="17"/>
  <c r="F358" i="17"/>
  <c r="G358" i="17"/>
  <c r="I358" i="17"/>
  <c r="J358" i="17"/>
  <c r="K358" i="17"/>
  <c r="AU358" i="17"/>
  <c r="F359" i="17"/>
  <c r="G359" i="17"/>
  <c r="I359" i="17"/>
  <c r="J359" i="17"/>
  <c r="K359" i="17"/>
  <c r="AU359" i="17"/>
  <c r="F360" i="17"/>
  <c r="G360" i="17"/>
  <c r="I360" i="17"/>
  <c r="J360" i="17"/>
  <c r="K360" i="17"/>
  <c r="AU360" i="17"/>
  <c r="F361" i="17"/>
  <c r="G361" i="17"/>
  <c r="I361" i="17"/>
  <c r="J361" i="17"/>
  <c r="K361" i="17"/>
  <c r="AU361" i="17"/>
  <c r="F362" i="17"/>
  <c r="G362" i="17"/>
  <c r="I362" i="17"/>
  <c r="J362" i="17"/>
  <c r="K362" i="17"/>
  <c r="AU362" i="17"/>
  <c r="F363" i="17"/>
  <c r="G363" i="17"/>
  <c r="I363" i="17"/>
  <c r="J363" i="17"/>
  <c r="K363" i="17"/>
  <c r="AU363" i="17"/>
  <c r="F364" i="17"/>
  <c r="G364" i="17"/>
  <c r="I364" i="17"/>
  <c r="J364" i="17"/>
  <c r="K364" i="17"/>
  <c r="AU364" i="17"/>
  <c r="F365" i="17"/>
  <c r="G365" i="17"/>
  <c r="I365" i="17"/>
  <c r="J365" i="17"/>
  <c r="K365" i="17"/>
  <c r="AU365" i="17"/>
  <c r="F366" i="17"/>
  <c r="G366" i="17"/>
  <c r="I366" i="17"/>
  <c r="J366" i="17"/>
  <c r="K366" i="17"/>
  <c r="AU366" i="17"/>
  <c r="F367" i="17"/>
  <c r="G367" i="17"/>
  <c r="I367" i="17"/>
  <c r="J367" i="17"/>
  <c r="K367" i="17"/>
  <c r="AU367" i="17"/>
  <c r="F368" i="17"/>
  <c r="G368" i="17"/>
  <c r="I368" i="17"/>
  <c r="J368" i="17"/>
  <c r="K368" i="17"/>
  <c r="AU368" i="17"/>
  <c r="F369" i="17"/>
  <c r="G369" i="17"/>
  <c r="I369" i="17"/>
  <c r="J369" i="17"/>
  <c r="K369" i="17"/>
  <c r="AU369" i="17"/>
  <c r="F370" i="17"/>
  <c r="G370" i="17"/>
  <c r="I370" i="17"/>
  <c r="J370" i="17"/>
  <c r="K370" i="17"/>
  <c r="AU370" i="17"/>
  <c r="F371" i="17"/>
  <c r="G371" i="17"/>
  <c r="I371" i="17"/>
  <c r="J371" i="17"/>
  <c r="K371" i="17"/>
  <c r="AU371" i="17"/>
  <c r="F372" i="17"/>
  <c r="G372" i="17"/>
  <c r="I372" i="17"/>
  <c r="J372" i="17"/>
  <c r="K372" i="17"/>
  <c r="AU372" i="17"/>
  <c r="F373" i="17"/>
  <c r="G373" i="17"/>
  <c r="I373" i="17"/>
  <c r="J373" i="17"/>
  <c r="K373" i="17"/>
  <c r="AU373" i="17"/>
  <c r="F374" i="17"/>
  <c r="G374" i="17"/>
  <c r="I374" i="17"/>
  <c r="J374" i="17"/>
  <c r="K374" i="17"/>
  <c r="AU374" i="17"/>
  <c r="F375" i="17"/>
  <c r="G375" i="17"/>
  <c r="I375" i="17"/>
  <c r="J375" i="17"/>
  <c r="K375" i="17"/>
  <c r="AU375" i="17"/>
  <c r="F376" i="17"/>
  <c r="G376" i="17"/>
  <c r="I376" i="17"/>
  <c r="J376" i="17"/>
  <c r="K376" i="17"/>
  <c r="AU376" i="17"/>
  <c r="F377" i="17"/>
  <c r="G377" i="17"/>
  <c r="I377" i="17"/>
  <c r="J377" i="17"/>
  <c r="K377" i="17"/>
  <c r="AU377" i="17"/>
  <c r="F378" i="17"/>
  <c r="G378" i="17"/>
  <c r="I378" i="17"/>
  <c r="J378" i="17"/>
  <c r="K378" i="17"/>
  <c r="AU378" i="17"/>
  <c r="F379" i="17"/>
  <c r="G379" i="17"/>
  <c r="I379" i="17"/>
  <c r="J379" i="17"/>
  <c r="K379" i="17"/>
  <c r="AU379" i="17"/>
  <c r="F380" i="17"/>
  <c r="G380" i="17"/>
  <c r="I380" i="17"/>
  <c r="J380" i="17"/>
  <c r="K380" i="17"/>
  <c r="AU380" i="17"/>
  <c r="F381" i="17"/>
  <c r="G381" i="17"/>
  <c r="I381" i="17"/>
  <c r="J381" i="17"/>
  <c r="K381" i="17"/>
  <c r="AU381" i="17"/>
  <c r="F382" i="17"/>
  <c r="G382" i="17"/>
  <c r="I382" i="17"/>
  <c r="J382" i="17"/>
  <c r="K382" i="17"/>
  <c r="AU382" i="17"/>
  <c r="F383" i="17"/>
  <c r="G383" i="17"/>
  <c r="I383" i="17"/>
  <c r="J383" i="17"/>
  <c r="K383" i="17"/>
  <c r="AU383" i="17"/>
  <c r="F384" i="17"/>
  <c r="G384" i="17"/>
  <c r="I384" i="17"/>
  <c r="J384" i="17"/>
  <c r="K384" i="17"/>
  <c r="AU384" i="17"/>
  <c r="F385" i="17"/>
  <c r="G385" i="17"/>
  <c r="I385" i="17"/>
  <c r="J385" i="17"/>
  <c r="K385" i="17"/>
  <c r="AU385" i="17"/>
  <c r="F386" i="17"/>
  <c r="G386" i="17"/>
  <c r="I386" i="17"/>
  <c r="J386" i="17"/>
  <c r="K386" i="17"/>
  <c r="AU386" i="17"/>
  <c r="F387" i="17"/>
  <c r="G387" i="17"/>
  <c r="I387" i="17"/>
  <c r="J387" i="17"/>
  <c r="K387" i="17"/>
  <c r="AU387" i="17"/>
  <c r="F388" i="17"/>
  <c r="G388" i="17"/>
  <c r="I388" i="17"/>
  <c r="J388" i="17"/>
  <c r="K388" i="17"/>
  <c r="AU388" i="17"/>
  <c r="F389" i="17"/>
  <c r="G389" i="17"/>
  <c r="I389" i="17"/>
  <c r="J389" i="17"/>
  <c r="K389" i="17"/>
  <c r="AU389" i="17"/>
  <c r="F390" i="17"/>
  <c r="G390" i="17"/>
  <c r="I390" i="17"/>
  <c r="J390" i="17"/>
  <c r="K390" i="17"/>
  <c r="AU390" i="17"/>
  <c r="F391" i="17"/>
  <c r="G391" i="17"/>
  <c r="I391" i="17"/>
  <c r="J391" i="17"/>
  <c r="K391" i="17"/>
  <c r="AU391" i="17"/>
  <c r="F392" i="17"/>
  <c r="G392" i="17"/>
  <c r="I392" i="17"/>
  <c r="J392" i="17"/>
  <c r="K392" i="17"/>
  <c r="AU392" i="17"/>
  <c r="F393" i="17"/>
  <c r="G393" i="17"/>
  <c r="I393" i="17"/>
  <c r="J393" i="17"/>
  <c r="K393" i="17"/>
  <c r="AU393" i="17"/>
  <c r="F394" i="17"/>
  <c r="G394" i="17"/>
  <c r="I394" i="17"/>
  <c r="J394" i="17"/>
  <c r="K394" i="17"/>
  <c r="AU394" i="17"/>
  <c r="F395" i="17"/>
  <c r="G395" i="17"/>
  <c r="I395" i="17"/>
  <c r="J395" i="17"/>
  <c r="K395" i="17"/>
  <c r="AU395" i="17"/>
  <c r="F396" i="17"/>
  <c r="G396" i="17"/>
  <c r="I396" i="17"/>
  <c r="J396" i="17"/>
  <c r="K396" i="17"/>
  <c r="AU396" i="17"/>
  <c r="F397" i="17"/>
  <c r="G397" i="17"/>
  <c r="I397" i="17"/>
  <c r="J397" i="17"/>
  <c r="K397" i="17"/>
  <c r="AU397" i="17"/>
  <c r="F398" i="17"/>
  <c r="G398" i="17"/>
  <c r="I398" i="17"/>
  <c r="J398" i="17"/>
  <c r="K398" i="17"/>
  <c r="AU398" i="17"/>
  <c r="F399" i="17"/>
  <c r="G399" i="17"/>
  <c r="I399" i="17"/>
  <c r="J399" i="17"/>
  <c r="K399" i="17"/>
  <c r="AU399" i="17"/>
  <c r="F400" i="17"/>
  <c r="G400" i="17"/>
  <c r="I400" i="17"/>
  <c r="J400" i="17"/>
  <c r="K400" i="17"/>
  <c r="AU400" i="17"/>
  <c r="F401" i="17"/>
  <c r="G401" i="17"/>
  <c r="I401" i="17"/>
  <c r="J401" i="17"/>
  <c r="K401" i="17"/>
  <c r="AU401" i="17"/>
  <c r="F402" i="17"/>
  <c r="G402" i="17"/>
  <c r="I402" i="17"/>
  <c r="J402" i="17"/>
  <c r="K402" i="17"/>
  <c r="AU402" i="17"/>
  <c r="F403" i="17"/>
  <c r="G403" i="17"/>
  <c r="I403" i="17"/>
  <c r="J403" i="17"/>
  <c r="K403" i="17"/>
  <c r="AU403" i="17"/>
  <c r="F404" i="17"/>
  <c r="G404" i="17"/>
  <c r="I404" i="17"/>
  <c r="J404" i="17"/>
  <c r="K404" i="17"/>
  <c r="AU404" i="17"/>
  <c r="F405" i="17"/>
  <c r="G405" i="17"/>
  <c r="I405" i="17"/>
  <c r="J405" i="17"/>
  <c r="K405" i="17"/>
  <c r="AU405" i="17"/>
  <c r="F406" i="17"/>
  <c r="G406" i="17"/>
  <c r="I406" i="17"/>
  <c r="J406" i="17"/>
  <c r="K406" i="17"/>
  <c r="AU406" i="17"/>
  <c r="F407" i="17"/>
  <c r="G407" i="17"/>
  <c r="I407" i="17"/>
  <c r="J407" i="17"/>
  <c r="K407" i="17"/>
  <c r="AU407" i="17"/>
  <c r="F408" i="17"/>
  <c r="G408" i="17"/>
  <c r="I408" i="17"/>
  <c r="J408" i="17"/>
  <c r="K408" i="17"/>
  <c r="AU408" i="17"/>
  <c r="F409" i="17"/>
  <c r="G409" i="17"/>
  <c r="I409" i="17"/>
  <c r="J409" i="17"/>
  <c r="K409" i="17"/>
  <c r="AU409" i="17"/>
  <c r="F410" i="17"/>
  <c r="G410" i="17"/>
  <c r="I410" i="17"/>
  <c r="J410" i="17"/>
  <c r="K410" i="17"/>
  <c r="AU410" i="17"/>
  <c r="F411" i="17"/>
  <c r="G411" i="17"/>
  <c r="I411" i="17"/>
  <c r="J411" i="17"/>
  <c r="K411" i="17"/>
  <c r="AU411" i="17"/>
  <c r="F412" i="17"/>
  <c r="G412" i="17"/>
  <c r="I412" i="17"/>
  <c r="J412" i="17"/>
  <c r="K412" i="17"/>
  <c r="AU412" i="17"/>
  <c r="F413" i="17"/>
  <c r="G413" i="17"/>
  <c r="I413" i="17"/>
  <c r="J413" i="17"/>
  <c r="K413" i="17"/>
  <c r="AU413" i="17"/>
  <c r="F414" i="17"/>
  <c r="G414" i="17"/>
  <c r="I414" i="17"/>
  <c r="J414" i="17"/>
  <c r="K414" i="17"/>
  <c r="AU414" i="17"/>
  <c r="F415" i="17"/>
  <c r="G415" i="17"/>
  <c r="I415" i="17"/>
  <c r="J415" i="17"/>
  <c r="K415" i="17"/>
  <c r="AU415" i="17"/>
  <c r="F416" i="17"/>
  <c r="G416" i="17"/>
  <c r="I416" i="17"/>
  <c r="J416" i="17"/>
  <c r="K416" i="17"/>
  <c r="AU416" i="17"/>
  <c r="F417" i="17"/>
  <c r="G417" i="17"/>
  <c r="I417" i="17"/>
  <c r="J417" i="17"/>
  <c r="K417" i="17"/>
  <c r="AU417" i="17"/>
  <c r="F418" i="17"/>
  <c r="G418" i="17"/>
  <c r="I418" i="17"/>
  <c r="J418" i="17"/>
  <c r="K418" i="17"/>
  <c r="AU418" i="17"/>
  <c r="F419" i="17"/>
  <c r="G419" i="17"/>
  <c r="I419" i="17"/>
  <c r="J419" i="17"/>
  <c r="K419" i="17"/>
  <c r="AU419" i="17"/>
  <c r="F420" i="17"/>
  <c r="G420" i="17"/>
  <c r="I420" i="17"/>
  <c r="J420" i="17"/>
  <c r="K420" i="17"/>
  <c r="AU420" i="17"/>
  <c r="F421" i="17"/>
  <c r="G421" i="17"/>
  <c r="I421" i="17"/>
  <c r="J421" i="17"/>
  <c r="K421" i="17"/>
  <c r="AU421" i="17"/>
  <c r="F422" i="17"/>
  <c r="G422" i="17"/>
  <c r="I422" i="17"/>
  <c r="J422" i="17"/>
  <c r="K422" i="17"/>
  <c r="AU422" i="17"/>
  <c r="F423" i="17"/>
  <c r="G423" i="17"/>
  <c r="I423" i="17"/>
  <c r="J423" i="17"/>
  <c r="K423" i="17"/>
  <c r="AU423" i="17"/>
  <c r="F424" i="17"/>
  <c r="G424" i="17"/>
  <c r="I424" i="17"/>
  <c r="J424" i="17"/>
  <c r="K424" i="17"/>
  <c r="AU424" i="17"/>
  <c r="F425" i="17"/>
  <c r="G425" i="17"/>
  <c r="I425" i="17"/>
  <c r="J425" i="17"/>
  <c r="K425" i="17"/>
  <c r="AU425" i="17"/>
  <c r="F426" i="17"/>
  <c r="G426" i="17"/>
  <c r="I426" i="17"/>
  <c r="J426" i="17"/>
  <c r="K426" i="17"/>
  <c r="AU426" i="17"/>
  <c r="F427" i="17"/>
  <c r="G427" i="17"/>
  <c r="I427" i="17"/>
  <c r="J427" i="17"/>
  <c r="K427" i="17"/>
  <c r="AU427" i="17"/>
  <c r="F428" i="17"/>
  <c r="G428" i="17"/>
  <c r="I428" i="17"/>
  <c r="J428" i="17"/>
  <c r="K428" i="17"/>
  <c r="AU428" i="17"/>
  <c r="F429" i="17"/>
  <c r="G429" i="17"/>
  <c r="I429" i="17"/>
  <c r="J429" i="17"/>
  <c r="K429" i="17"/>
  <c r="AU429" i="17"/>
  <c r="F430" i="17"/>
  <c r="G430" i="17"/>
  <c r="I430" i="17"/>
  <c r="J430" i="17"/>
  <c r="K430" i="17"/>
  <c r="AU430" i="17"/>
  <c r="F431" i="17"/>
  <c r="G431" i="17"/>
  <c r="I431" i="17"/>
  <c r="J431" i="17"/>
  <c r="K431" i="17"/>
  <c r="AU431" i="17"/>
  <c r="F432" i="17"/>
  <c r="G432" i="17"/>
  <c r="I432" i="17"/>
  <c r="J432" i="17"/>
  <c r="K432" i="17"/>
  <c r="AU432" i="17"/>
  <c r="F433" i="17"/>
  <c r="G433" i="17"/>
  <c r="I433" i="17"/>
  <c r="J433" i="17"/>
  <c r="K433" i="17"/>
  <c r="AU433" i="17"/>
  <c r="F434" i="17"/>
  <c r="G434" i="17"/>
  <c r="I434" i="17"/>
  <c r="J434" i="17"/>
  <c r="K434" i="17"/>
  <c r="AU434" i="17"/>
  <c r="F435" i="17"/>
  <c r="G435" i="17"/>
  <c r="I435" i="17"/>
  <c r="J435" i="17"/>
  <c r="K435" i="17"/>
  <c r="AU435" i="17"/>
  <c r="F436" i="17"/>
  <c r="G436" i="17"/>
  <c r="I436" i="17"/>
  <c r="J436" i="17"/>
  <c r="K436" i="17"/>
  <c r="AU436" i="17"/>
  <c r="F437" i="17"/>
  <c r="G437" i="17"/>
  <c r="I437" i="17"/>
  <c r="J437" i="17"/>
  <c r="K437" i="17"/>
  <c r="AU437" i="17"/>
  <c r="F438" i="17"/>
  <c r="G438" i="17"/>
  <c r="I438" i="17"/>
  <c r="J438" i="17"/>
  <c r="K438" i="17"/>
  <c r="AU438" i="17"/>
  <c r="F439" i="17"/>
  <c r="G439" i="17"/>
  <c r="I439" i="17"/>
  <c r="J439" i="17"/>
  <c r="K439" i="17"/>
  <c r="AU439" i="17"/>
  <c r="F440" i="17"/>
  <c r="G440" i="17"/>
  <c r="I440" i="17"/>
  <c r="J440" i="17"/>
  <c r="K440" i="17"/>
  <c r="AU440" i="17"/>
  <c r="F441" i="17"/>
  <c r="G441" i="17"/>
  <c r="I441" i="17"/>
  <c r="J441" i="17"/>
  <c r="K441" i="17"/>
  <c r="AU441" i="17"/>
  <c r="F442" i="17"/>
  <c r="G442" i="17"/>
  <c r="I442" i="17"/>
  <c r="J442" i="17"/>
  <c r="K442" i="17"/>
  <c r="AU442" i="17"/>
  <c r="F443" i="17"/>
  <c r="G443" i="17"/>
  <c r="I443" i="17"/>
  <c r="J443" i="17"/>
  <c r="K443" i="17"/>
  <c r="AU443" i="17"/>
  <c r="F444" i="17"/>
  <c r="G444" i="17"/>
  <c r="I444" i="17"/>
  <c r="J444" i="17"/>
  <c r="K444" i="17"/>
  <c r="AU444" i="17"/>
  <c r="F445" i="17"/>
  <c r="G445" i="17"/>
  <c r="I445" i="17"/>
  <c r="J445" i="17"/>
  <c r="K445" i="17"/>
  <c r="AU445" i="17"/>
  <c r="F446" i="17"/>
  <c r="G446" i="17"/>
  <c r="I446" i="17"/>
  <c r="J446" i="17"/>
  <c r="K446" i="17"/>
  <c r="AU446" i="17"/>
  <c r="F447" i="17"/>
  <c r="G447" i="17"/>
  <c r="I447" i="17"/>
  <c r="J447" i="17"/>
  <c r="K447" i="17"/>
  <c r="AU447" i="17"/>
  <c r="F448" i="17"/>
  <c r="G448" i="17"/>
  <c r="I448" i="17"/>
  <c r="J448" i="17"/>
  <c r="K448" i="17"/>
  <c r="AU448" i="17"/>
  <c r="F449" i="17"/>
  <c r="G449" i="17"/>
  <c r="I449" i="17"/>
  <c r="J449" i="17"/>
  <c r="K449" i="17"/>
  <c r="AU449" i="17"/>
  <c r="F450" i="17"/>
  <c r="G450" i="17"/>
  <c r="I450" i="17"/>
  <c r="J450" i="17"/>
  <c r="K450" i="17"/>
  <c r="AU450" i="17"/>
  <c r="F451" i="17"/>
  <c r="G451" i="17"/>
  <c r="I451" i="17"/>
  <c r="J451" i="17"/>
  <c r="K451" i="17"/>
  <c r="AU451" i="17"/>
  <c r="F452" i="17"/>
  <c r="G452" i="17"/>
  <c r="I452" i="17"/>
  <c r="J452" i="17"/>
  <c r="K452" i="17"/>
  <c r="AU452" i="17"/>
  <c r="F453" i="17"/>
  <c r="G453" i="17"/>
  <c r="I453" i="17"/>
  <c r="J453" i="17"/>
  <c r="K453" i="17"/>
  <c r="AU453" i="17"/>
  <c r="F454" i="17"/>
  <c r="G454" i="17"/>
  <c r="I454" i="17"/>
  <c r="J454" i="17"/>
  <c r="K454" i="17"/>
  <c r="AU454" i="17"/>
  <c r="F455" i="17"/>
  <c r="G455" i="17"/>
  <c r="I455" i="17"/>
  <c r="J455" i="17"/>
  <c r="K455" i="17"/>
  <c r="AU455" i="17"/>
  <c r="F456" i="17"/>
  <c r="G456" i="17"/>
  <c r="I456" i="17"/>
  <c r="J456" i="17"/>
  <c r="K456" i="17"/>
  <c r="AU456" i="17"/>
  <c r="F457" i="17"/>
  <c r="G457" i="17"/>
  <c r="I457" i="17"/>
  <c r="J457" i="17"/>
  <c r="K457" i="17"/>
  <c r="AU457" i="17"/>
  <c r="F458" i="17"/>
  <c r="G458" i="17"/>
  <c r="I458" i="17"/>
  <c r="J458" i="17"/>
  <c r="K458" i="17"/>
  <c r="AU458" i="17"/>
  <c r="F459" i="17"/>
  <c r="G459" i="17"/>
  <c r="I459" i="17"/>
  <c r="J459" i="17"/>
  <c r="K459" i="17"/>
  <c r="AU459" i="17"/>
  <c r="F460" i="17"/>
  <c r="G460" i="17"/>
  <c r="I460" i="17"/>
  <c r="J460" i="17"/>
  <c r="K460" i="17"/>
  <c r="AU460" i="17"/>
  <c r="F461" i="17"/>
  <c r="G461" i="17"/>
  <c r="I461" i="17"/>
  <c r="J461" i="17"/>
  <c r="K461" i="17"/>
  <c r="AU461" i="17"/>
  <c r="F462" i="17"/>
  <c r="G462" i="17"/>
  <c r="I462" i="17"/>
  <c r="J462" i="17"/>
  <c r="K462" i="17"/>
  <c r="AU462" i="17"/>
  <c r="F463" i="17"/>
  <c r="G463" i="17"/>
  <c r="I463" i="17"/>
  <c r="J463" i="17"/>
  <c r="K463" i="17"/>
  <c r="AU463" i="17"/>
  <c r="F464" i="17"/>
  <c r="G464" i="17"/>
  <c r="I464" i="17"/>
  <c r="J464" i="17"/>
  <c r="K464" i="17"/>
  <c r="AU464" i="17"/>
  <c r="F465" i="17"/>
  <c r="G465" i="17"/>
  <c r="I465" i="17"/>
  <c r="J465" i="17"/>
  <c r="K465" i="17"/>
  <c r="AU465" i="17"/>
  <c r="F466" i="17"/>
  <c r="G466" i="17"/>
  <c r="I466" i="17"/>
  <c r="J466" i="17"/>
  <c r="K466" i="17"/>
  <c r="AU466" i="17"/>
  <c r="F467" i="17"/>
  <c r="G467" i="17"/>
  <c r="I467" i="17"/>
  <c r="J467" i="17"/>
  <c r="K467" i="17"/>
  <c r="AU467" i="17"/>
  <c r="F468" i="17"/>
  <c r="G468" i="17"/>
  <c r="I468" i="17"/>
  <c r="J468" i="17"/>
  <c r="K468" i="17"/>
  <c r="AU468" i="17"/>
  <c r="F469" i="17"/>
  <c r="G469" i="17"/>
  <c r="I469" i="17"/>
  <c r="J469" i="17"/>
  <c r="K469" i="17"/>
  <c r="AU469" i="17"/>
  <c r="F470" i="17"/>
  <c r="G470" i="17"/>
  <c r="I470" i="17"/>
  <c r="J470" i="17"/>
  <c r="K470" i="17"/>
  <c r="AU470" i="17"/>
  <c r="F471" i="17"/>
  <c r="G471" i="17"/>
  <c r="I471" i="17"/>
  <c r="J471" i="17"/>
  <c r="K471" i="17"/>
  <c r="AU471" i="17"/>
  <c r="F472" i="17"/>
  <c r="G472" i="17"/>
  <c r="I472" i="17"/>
  <c r="J472" i="17"/>
  <c r="K472" i="17"/>
  <c r="AU472" i="17"/>
  <c r="F473" i="17"/>
  <c r="G473" i="17"/>
  <c r="I473" i="17"/>
  <c r="J473" i="17"/>
  <c r="K473" i="17"/>
  <c r="AU473" i="17"/>
  <c r="F474" i="17"/>
  <c r="G474" i="17"/>
  <c r="I474" i="17"/>
  <c r="J474" i="17"/>
  <c r="K474" i="17"/>
  <c r="AU474" i="17"/>
  <c r="F475" i="17"/>
  <c r="G475" i="17"/>
  <c r="I475" i="17"/>
  <c r="J475" i="17"/>
  <c r="K475" i="17"/>
  <c r="AU475" i="17"/>
  <c r="F476" i="17"/>
  <c r="G476" i="17"/>
  <c r="I476" i="17"/>
  <c r="J476" i="17"/>
  <c r="K476" i="17"/>
  <c r="AU476" i="17"/>
  <c r="F477" i="17"/>
  <c r="G477" i="17"/>
  <c r="I477" i="17"/>
  <c r="J477" i="17"/>
  <c r="K477" i="17"/>
  <c r="AU477" i="17"/>
  <c r="F478" i="17"/>
  <c r="G478" i="17"/>
  <c r="I478" i="17"/>
  <c r="J478" i="17"/>
  <c r="K478" i="17"/>
  <c r="AU478" i="17"/>
  <c r="F479" i="17"/>
  <c r="G479" i="17"/>
  <c r="I479" i="17"/>
  <c r="J479" i="17"/>
  <c r="K479" i="17"/>
  <c r="AU479" i="17"/>
  <c r="F480" i="17"/>
  <c r="G480" i="17"/>
  <c r="I480" i="17"/>
  <c r="J480" i="17"/>
  <c r="K480" i="17"/>
  <c r="AU480" i="17"/>
  <c r="F481" i="17"/>
  <c r="G481" i="17"/>
  <c r="I481" i="17"/>
  <c r="J481" i="17"/>
  <c r="K481" i="17"/>
  <c r="AU481" i="17"/>
  <c r="F482" i="17"/>
  <c r="G482" i="17"/>
  <c r="I482" i="17"/>
  <c r="J482" i="17"/>
  <c r="K482" i="17"/>
  <c r="AU482" i="17"/>
  <c r="F483" i="17"/>
  <c r="G483" i="17"/>
  <c r="I483" i="17"/>
  <c r="J483" i="17"/>
  <c r="K483" i="17"/>
  <c r="AU483" i="17"/>
  <c r="F484" i="17"/>
  <c r="G484" i="17"/>
  <c r="I484" i="17"/>
  <c r="J484" i="17"/>
  <c r="K484" i="17"/>
  <c r="AU484" i="17"/>
  <c r="F485" i="17"/>
  <c r="G485" i="17"/>
  <c r="I485" i="17"/>
  <c r="J485" i="17"/>
  <c r="K485" i="17"/>
  <c r="AU485" i="17"/>
  <c r="F486" i="17"/>
  <c r="G486" i="17"/>
  <c r="I486" i="17"/>
  <c r="J486" i="17"/>
  <c r="K486" i="17"/>
  <c r="AU486" i="17"/>
  <c r="F487" i="17"/>
  <c r="G487" i="17"/>
  <c r="I487" i="17"/>
  <c r="J487" i="17"/>
  <c r="K487" i="17"/>
  <c r="AU487" i="17"/>
  <c r="F488" i="17"/>
  <c r="G488" i="17"/>
  <c r="I488" i="17"/>
  <c r="J488" i="17"/>
  <c r="K488" i="17"/>
  <c r="AU488" i="17"/>
  <c r="F489" i="17"/>
  <c r="G489" i="17"/>
  <c r="I489" i="17"/>
  <c r="J489" i="17"/>
  <c r="K489" i="17"/>
  <c r="AU489" i="17"/>
  <c r="F490" i="17"/>
  <c r="G490" i="17"/>
  <c r="I490" i="17"/>
  <c r="J490" i="17"/>
  <c r="K490" i="17"/>
  <c r="AU490" i="17"/>
  <c r="F491" i="17"/>
  <c r="G491" i="17"/>
  <c r="I491" i="17"/>
  <c r="J491" i="17"/>
  <c r="K491" i="17"/>
  <c r="AU491" i="17"/>
  <c r="F492" i="17"/>
  <c r="G492" i="17"/>
  <c r="I492" i="17"/>
  <c r="J492" i="17"/>
  <c r="K492" i="17"/>
  <c r="AU492" i="17"/>
  <c r="F493" i="17"/>
  <c r="G493" i="17"/>
  <c r="I493" i="17"/>
  <c r="J493" i="17"/>
  <c r="K493" i="17"/>
  <c r="AU493" i="17"/>
  <c r="F494" i="17"/>
  <c r="G494" i="17"/>
  <c r="I494" i="17"/>
  <c r="J494" i="17"/>
  <c r="K494" i="17"/>
  <c r="AU494" i="17"/>
  <c r="F495" i="17"/>
  <c r="G495" i="17"/>
  <c r="I495" i="17"/>
  <c r="J495" i="17"/>
  <c r="K495" i="17"/>
  <c r="AU495" i="17"/>
  <c r="F496" i="17"/>
  <c r="G496" i="17"/>
  <c r="I496" i="17"/>
  <c r="J496" i="17"/>
  <c r="K496" i="17"/>
  <c r="AU496" i="17"/>
  <c r="F497" i="17"/>
  <c r="G497" i="17"/>
  <c r="I497" i="17"/>
  <c r="J497" i="17"/>
  <c r="K497" i="17"/>
  <c r="AU497" i="17"/>
  <c r="F498" i="17"/>
  <c r="G498" i="17"/>
  <c r="I498" i="17"/>
  <c r="J498" i="17"/>
  <c r="K498" i="17"/>
  <c r="AU498" i="17"/>
  <c r="F499" i="17"/>
  <c r="G499" i="17"/>
  <c r="I499" i="17"/>
  <c r="J499" i="17"/>
  <c r="K499" i="17"/>
  <c r="AU499" i="17"/>
  <c r="F500" i="17"/>
  <c r="G500" i="17"/>
  <c r="I500" i="17"/>
  <c r="J500" i="17"/>
  <c r="K500" i="17"/>
  <c r="AU500" i="17"/>
  <c r="F501" i="17"/>
  <c r="G501" i="17"/>
  <c r="I501" i="17"/>
  <c r="J501" i="17"/>
  <c r="K501" i="17"/>
  <c r="AU501" i="17"/>
  <c r="F502" i="17"/>
  <c r="G502" i="17"/>
  <c r="I502" i="17"/>
  <c r="J502" i="17"/>
  <c r="K502" i="17"/>
  <c r="AU502" i="17"/>
  <c r="F503" i="17"/>
  <c r="G503" i="17"/>
  <c r="I503" i="17"/>
  <c r="J503" i="17"/>
  <c r="K503" i="17"/>
  <c r="AU503" i="17"/>
  <c r="F504" i="17"/>
  <c r="G504" i="17"/>
  <c r="I504" i="17"/>
  <c r="J504" i="17"/>
  <c r="K504" i="17"/>
  <c r="AU504" i="17"/>
  <c r="F505" i="17"/>
  <c r="G505" i="17"/>
  <c r="I505" i="17"/>
  <c r="J505" i="17"/>
  <c r="K505" i="17"/>
  <c r="AU505" i="17"/>
  <c r="F506" i="17"/>
  <c r="G506" i="17"/>
  <c r="I506" i="17"/>
  <c r="J506" i="17"/>
  <c r="K506" i="17"/>
  <c r="AU506" i="17"/>
  <c r="F507" i="17"/>
  <c r="G507" i="17"/>
  <c r="I507" i="17"/>
  <c r="J507" i="17"/>
  <c r="K507" i="17"/>
  <c r="AU507" i="17"/>
  <c r="F508" i="17"/>
  <c r="G508" i="17"/>
  <c r="I508" i="17"/>
  <c r="J508" i="17"/>
  <c r="K508" i="17"/>
  <c r="AU508" i="17"/>
  <c r="F509" i="17"/>
  <c r="G509" i="17"/>
  <c r="I509" i="17"/>
  <c r="J509" i="17"/>
  <c r="K509" i="17"/>
  <c r="AU509" i="17"/>
  <c r="F510" i="17"/>
  <c r="G510" i="17"/>
  <c r="I510" i="17"/>
  <c r="J510" i="17"/>
  <c r="K510" i="17"/>
  <c r="AU510" i="17"/>
  <c r="F511" i="17"/>
  <c r="G511" i="17"/>
  <c r="I511" i="17"/>
  <c r="J511" i="17"/>
  <c r="K511" i="17"/>
  <c r="AU511" i="17"/>
  <c r="F512" i="17"/>
  <c r="G512" i="17"/>
  <c r="I512" i="17"/>
  <c r="J512" i="17"/>
  <c r="K512" i="17"/>
  <c r="AU512" i="17"/>
  <c r="F513" i="17"/>
  <c r="G513" i="17"/>
  <c r="I513" i="17"/>
  <c r="J513" i="17"/>
  <c r="K513" i="17"/>
  <c r="AU513" i="17"/>
  <c r="F514" i="17"/>
  <c r="G514" i="17"/>
  <c r="I514" i="17"/>
  <c r="J514" i="17"/>
  <c r="K514" i="17"/>
  <c r="AU514" i="17"/>
  <c r="F515" i="17"/>
  <c r="G515" i="17"/>
  <c r="I515" i="17"/>
  <c r="J515" i="17"/>
  <c r="K515" i="17"/>
  <c r="AU515" i="17"/>
  <c r="F516" i="17"/>
  <c r="G516" i="17"/>
  <c r="I516" i="17"/>
  <c r="J516" i="17"/>
  <c r="K516" i="17"/>
  <c r="AU516" i="17"/>
  <c r="F517" i="17"/>
  <c r="G517" i="17"/>
  <c r="I517" i="17"/>
  <c r="J517" i="17"/>
  <c r="K517" i="17"/>
  <c r="AU517" i="17"/>
  <c r="F518" i="17"/>
  <c r="G518" i="17"/>
  <c r="I518" i="17"/>
  <c r="J518" i="17"/>
  <c r="K518" i="17"/>
  <c r="AU518" i="17"/>
  <c r="F519" i="17"/>
  <c r="G519" i="17"/>
  <c r="I519" i="17"/>
  <c r="J519" i="17"/>
  <c r="K519" i="17"/>
  <c r="AU519" i="17"/>
  <c r="F520" i="17"/>
  <c r="G520" i="17"/>
  <c r="I520" i="17"/>
  <c r="J520" i="17"/>
  <c r="K520" i="17"/>
  <c r="AU520" i="17"/>
  <c r="F521" i="17"/>
  <c r="G521" i="17"/>
  <c r="I521" i="17"/>
  <c r="J521" i="17"/>
  <c r="K521" i="17"/>
  <c r="AU521" i="17"/>
  <c r="F522" i="17"/>
  <c r="G522" i="17"/>
  <c r="I522" i="17"/>
  <c r="J522" i="17"/>
  <c r="K522" i="17"/>
  <c r="AU522" i="17"/>
  <c r="F523" i="17"/>
  <c r="G523" i="17"/>
  <c r="I523" i="17"/>
  <c r="J523" i="17"/>
  <c r="K523" i="17"/>
  <c r="AU523" i="17"/>
  <c r="F524" i="17"/>
  <c r="G524" i="17"/>
  <c r="I524" i="17"/>
  <c r="J524" i="17"/>
  <c r="K524" i="17"/>
  <c r="AU524" i="17"/>
  <c r="F525" i="17"/>
  <c r="G525" i="17"/>
  <c r="I525" i="17"/>
  <c r="J525" i="17"/>
  <c r="K525" i="17"/>
  <c r="AU525" i="17"/>
  <c r="F526" i="17"/>
  <c r="G526" i="17"/>
  <c r="I526" i="17"/>
  <c r="J526" i="17"/>
  <c r="K526" i="17"/>
  <c r="AU526" i="17"/>
  <c r="F527" i="17"/>
  <c r="G527" i="17"/>
  <c r="I527" i="17"/>
  <c r="J527" i="17"/>
  <c r="K527" i="17"/>
  <c r="AU527" i="17"/>
  <c r="F528" i="17"/>
  <c r="G528" i="17"/>
  <c r="I528" i="17"/>
  <c r="J528" i="17"/>
  <c r="K528" i="17"/>
  <c r="AU528" i="17"/>
  <c r="F529" i="17"/>
  <c r="G529" i="17"/>
  <c r="I529" i="17"/>
  <c r="J529" i="17"/>
  <c r="K529" i="17"/>
  <c r="AU529" i="17"/>
  <c r="F530" i="17"/>
  <c r="G530" i="17"/>
  <c r="I530" i="17"/>
  <c r="J530" i="17"/>
  <c r="K530" i="17"/>
  <c r="AU530" i="17"/>
  <c r="F531" i="17"/>
  <c r="G531" i="17"/>
  <c r="I531" i="17"/>
  <c r="J531" i="17"/>
  <c r="K531" i="17"/>
  <c r="AU531" i="17"/>
  <c r="F532" i="17"/>
  <c r="G532" i="17"/>
  <c r="I532" i="17"/>
  <c r="J532" i="17"/>
  <c r="K532" i="17"/>
  <c r="AU532" i="17"/>
  <c r="F533" i="17"/>
  <c r="G533" i="17"/>
  <c r="I533" i="17"/>
  <c r="J533" i="17"/>
  <c r="K533" i="17"/>
  <c r="AU533" i="17"/>
  <c r="F534" i="17"/>
  <c r="G534" i="17"/>
  <c r="I534" i="17"/>
  <c r="J534" i="17"/>
  <c r="K534" i="17"/>
  <c r="AU534" i="17"/>
  <c r="F535" i="17"/>
  <c r="G535" i="17"/>
  <c r="I535" i="17"/>
  <c r="J535" i="17"/>
  <c r="K535" i="17"/>
  <c r="AU535" i="17"/>
  <c r="F536" i="17"/>
  <c r="G536" i="17"/>
  <c r="I536" i="17"/>
  <c r="J536" i="17"/>
  <c r="K536" i="17"/>
  <c r="AU536" i="17"/>
  <c r="F537" i="17"/>
  <c r="G537" i="17"/>
  <c r="I537" i="17"/>
  <c r="J537" i="17"/>
  <c r="K537" i="17"/>
  <c r="AU537" i="17"/>
  <c r="F538" i="17"/>
  <c r="G538" i="17"/>
  <c r="I538" i="17"/>
  <c r="J538" i="17"/>
  <c r="K538" i="17"/>
  <c r="AU538" i="17"/>
  <c r="F539" i="17"/>
  <c r="G539" i="17"/>
  <c r="I539" i="17"/>
  <c r="J539" i="17"/>
  <c r="K539" i="17"/>
  <c r="AU539" i="17"/>
  <c r="F540" i="17"/>
  <c r="G540" i="17"/>
  <c r="I540" i="17"/>
  <c r="J540" i="17"/>
  <c r="K540" i="17"/>
  <c r="AU540" i="17"/>
  <c r="F541" i="17"/>
  <c r="G541" i="17"/>
  <c r="I541" i="17"/>
  <c r="J541" i="17"/>
  <c r="K541" i="17"/>
  <c r="AU541" i="17"/>
  <c r="F542" i="17"/>
  <c r="G542" i="17"/>
  <c r="I542" i="17"/>
  <c r="J542" i="17"/>
  <c r="K542" i="17"/>
  <c r="AU542" i="17"/>
  <c r="F543" i="17"/>
  <c r="G543" i="17"/>
  <c r="I543" i="17"/>
  <c r="J543" i="17"/>
  <c r="K543" i="17"/>
  <c r="AU543" i="17"/>
  <c r="F544" i="17"/>
  <c r="G544" i="17"/>
  <c r="I544" i="17"/>
  <c r="J544" i="17"/>
  <c r="K544" i="17"/>
  <c r="AU544" i="17"/>
  <c r="F545" i="17"/>
  <c r="G545" i="17"/>
  <c r="I545" i="17"/>
  <c r="J545" i="17"/>
  <c r="K545" i="17"/>
  <c r="AU545" i="17"/>
  <c r="F546" i="17"/>
  <c r="G546" i="17"/>
  <c r="I546" i="17"/>
  <c r="J546" i="17"/>
  <c r="K546" i="17"/>
  <c r="AU546" i="17"/>
  <c r="F547" i="17"/>
  <c r="G547" i="17"/>
  <c r="I547" i="17"/>
  <c r="J547" i="17"/>
  <c r="K547" i="17"/>
  <c r="AU547" i="17"/>
  <c r="F548" i="17"/>
  <c r="G548" i="17"/>
  <c r="I548" i="17"/>
  <c r="J548" i="17"/>
  <c r="K548" i="17"/>
  <c r="AU548" i="17"/>
  <c r="F549" i="17"/>
  <c r="G549" i="17"/>
  <c r="I549" i="17"/>
  <c r="J549" i="17"/>
  <c r="K549" i="17"/>
  <c r="AU549" i="17"/>
  <c r="F550" i="17"/>
  <c r="G550" i="17"/>
  <c r="I550" i="17"/>
  <c r="J550" i="17"/>
  <c r="K550" i="17"/>
  <c r="AU550" i="17"/>
  <c r="F551" i="17"/>
  <c r="G551" i="17"/>
  <c r="I551" i="17"/>
  <c r="J551" i="17"/>
  <c r="K551" i="17"/>
  <c r="AU551" i="17"/>
  <c r="F552" i="17"/>
  <c r="G552" i="17"/>
  <c r="I552" i="17"/>
  <c r="J552" i="17"/>
  <c r="K552" i="17"/>
  <c r="AU552" i="17"/>
  <c r="F553" i="17"/>
  <c r="G553" i="17"/>
  <c r="I553" i="17"/>
  <c r="J553" i="17"/>
  <c r="K553" i="17"/>
  <c r="AU553" i="17"/>
  <c r="F554" i="17"/>
  <c r="G554" i="17"/>
  <c r="I554" i="17"/>
  <c r="J554" i="17"/>
  <c r="K554" i="17"/>
  <c r="AU554" i="17"/>
  <c r="F555" i="17"/>
  <c r="G555" i="17"/>
  <c r="I555" i="17"/>
  <c r="J555" i="17"/>
  <c r="K555" i="17"/>
  <c r="AU555" i="17"/>
  <c r="F556" i="17"/>
  <c r="G556" i="17"/>
  <c r="I556" i="17"/>
  <c r="J556" i="17"/>
  <c r="K556" i="17"/>
  <c r="AU556" i="17"/>
  <c r="F557" i="17"/>
  <c r="G557" i="17"/>
  <c r="I557" i="17"/>
  <c r="J557" i="17"/>
  <c r="K557" i="17"/>
  <c r="AU557" i="17"/>
  <c r="F558" i="17"/>
  <c r="G558" i="17"/>
  <c r="I558" i="17"/>
  <c r="J558" i="17"/>
  <c r="K558" i="17"/>
  <c r="AU558" i="17"/>
  <c r="F559" i="17"/>
  <c r="G559" i="17"/>
  <c r="I559" i="17"/>
  <c r="J559" i="17"/>
  <c r="K559" i="17"/>
  <c r="AU559" i="17"/>
  <c r="F560" i="17"/>
  <c r="G560" i="17"/>
  <c r="I560" i="17"/>
  <c r="J560" i="17"/>
  <c r="K560" i="17"/>
  <c r="AU560" i="17"/>
  <c r="F561" i="17"/>
  <c r="G561" i="17"/>
  <c r="I561" i="17"/>
  <c r="J561" i="17"/>
  <c r="K561" i="17"/>
  <c r="AU561" i="17"/>
  <c r="F562" i="17"/>
  <c r="G562" i="17"/>
  <c r="I562" i="17"/>
  <c r="J562" i="17"/>
  <c r="K562" i="17"/>
  <c r="AU562" i="17"/>
  <c r="F563" i="17"/>
  <c r="G563" i="17"/>
  <c r="I563" i="17"/>
  <c r="J563" i="17"/>
  <c r="K563" i="17"/>
  <c r="AU563" i="17"/>
  <c r="F564" i="17"/>
  <c r="G564" i="17"/>
  <c r="I564" i="17"/>
  <c r="J564" i="17"/>
  <c r="K564" i="17"/>
  <c r="AU564" i="17"/>
  <c r="F565" i="17"/>
  <c r="G565" i="17"/>
  <c r="I565" i="17"/>
  <c r="J565" i="17"/>
  <c r="K565" i="17"/>
  <c r="AU565" i="17"/>
  <c r="F566" i="17"/>
  <c r="G566" i="17"/>
  <c r="I566" i="17"/>
  <c r="J566" i="17"/>
  <c r="K566" i="17"/>
  <c r="AU566" i="17"/>
  <c r="F567" i="17"/>
  <c r="G567" i="17"/>
  <c r="I567" i="17"/>
  <c r="J567" i="17"/>
  <c r="K567" i="17"/>
  <c r="AU567" i="17"/>
  <c r="F568" i="17"/>
  <c r="G568" i="17"/>
  <c r="I568" i="17"/>
  <c r="J568" i="17"/>
  <c r="K568" i="17"/>
  <c r="AU568" i="17"/>
  <c r="F569" i="17"/>
  <c r="G569" i="17"/>
  <c r="I569" i="17"/>
  <c r="J569" i="17"/>
  <c r="K569" i="17"/>
  <c r="AU569" i="17"/>
  <c r="F570" i="17"/>
  <c r="G570" i="17"/>
  <c r="I570" i="17"/>
  <c r="J570" i="17"/>
  <c r="K570" i="17"/>
  <c r="AU570" i="17"/>
  <c r="F571" i="17"/>
  <c r="G571" i="17"/>
  <c r="I571" i="17"/>
  <c r="J571" i="17"/>
  <c r="K571" i="17"/>
  <c r="AU571" i="17"/>
  <c r="F572" i="17"/>
  <c r="G572" i="17"/>
  <c r="I572" i="17"/>
  <c r="J572" i="17"/>
  <c r="K572" i="17"/>
  <c r="AU572" i="17"/>
  <c r="F573" i="17"/>
  <c r="G573" i="17"/>
  <c r="I573" i="17"/>
  <c r="J573" i="17"/>
  <c r="K573" i="17"/>
  <c r="AU573" i="17"/>
  <c r="F574" i="17"/>
  <c r="G574" i="17"/>
  <c r="I574" i="17"/>
  <c r="J574" i="17"/>
  <c r="K574" i="17"/>
  <c r="AU574" i="17"/>
  <c r="F575" i="17"/>
  <c r="G575" i="17"/>
  <c r="I575" i="17"/>
  <c r="J575" i="17"/>
  <c r="K575" i="17"/>
  <c r="AU575" i="17"/>
  <c r="F576" i="17"/>
  <c r="G576" i="17"/>
  <c r="I576" i="17"/>
  <c r="J576" i="17"/>
  <c r="K576" i="17"/>
  <c r="AU576" i="17"/>
  <c r="F577" i="17"/>
  <c r="G577" i="17"/>
  <c r="I577" i="17"/>
  <c r="J577" i="17"/>
  <c r="K577" i="17"/>
  <c r="AU577" i="17"/>
  <c r="F578" i="17"/>
  <c r="G578" i="17"/>
  <c r="I578" i="17"/>
  <c r="J578" i="17"/>
  <c r="K578" i="17"/>
  <c r="AU578" i="17"/>
  <c r="F579" i="17"/>
  <c r="G579" i="17"/>
  <c r="I579" i="17"/>
  <c r="J579" i="17"/>
  <c r="K579" i="17"/>
  <c r="AU579" i="17"/>
  <c r="F580" i="17"/>
  <c r="G580" i="17"/>
  <c r="I580" i="17"/>
  <c r="J580" i="17"/>
  <c r="K580" i="17"/>
  <c r="AU580" i="17"/>
  <c r="F581" i="17"/>
  <c r="G581" i="17"/>
  <c r="I581" i="17"/>
  <c r="J581" i="17"/>
  <c r="K581" i="17"/>
  <c r="AU581" i="17"/>
  <c r="F582" i="17"/>
  <c r="G582" i="17"/>
  <c r="I582" i="17"/>
  <c r="J582" i="17"/>
  <c r="K582" i="17"/>
  <c r="AU582" i="17"/>
  <c r="F583" i="17"/>
  <c r="G583" i="17"/>
  <c r="I583" i="17"/>
  <c r="J583" i="17"/>
  <c r="K583" i="17"/>
  <c r="AU583" i="17"/>
  <c r="F584" i="17"/>
  <c r="G584" i="17"/>
  <c r="I584" i="17"/>
  <c r="J584" i="17"/>
  <c r="K584" i="17"/>
  <c r="AU584" i="17"/>
  <c r="F585" i="17"/>
  <c r="G585" i="17"/>
  <c r="I585" i="17"/>
  <c r="J585" i="17"/>
  <c r="K585" i="17"/>
  <c r="AU585" i="17"/>
  <c r="F586" i="17"/>
  <c r="G586" i="17"/>
  <c r="I586" i="17"/>
  <c r="J586" i="17"/>
  <c r="K586" i="17"/>
  <c r="AU586" i="17"/>
  <c r="F587" i="17"/>
  <c r="G587" i="17"/>
  <c r="I587" i="17"/>
  <c r="J587" i="17"/>
  <c r="K587" i="17"/>
  <c r="AU587" i="17"/>
  <c r="F588" i="17"/>
  <c r="G588" i="17"/>
  <c r="I588" i="17"/>
  <c r="J588" i="17"/>
  <c r="K588" i="17"/>
  <c r="AU588" i="17"/>
  <c r="F589" i="17"/>
  <c r="G589" i="17"/>
  <c r="I589" i="17"/>
  <c r="J589" i="17"/>
  <c r="K589" i="17"/>
  <c r="AU589" i="17"/>
  <c r="F590" i="17"/>
  <c r="G590" i="17"/>
  <c r="I590" i="17"/>
  <c r="J590" i="17"/>
  <c r="K590" i="17"/>
  <c r="AU590" i="17"/>
  <c r="F591" i="17"/>
  <c r="G591" i="17"/>
  <c r="I591" i="17"/>
  <c r="J591" i="17"/>
  <c r="K591" i="17"/>
  <c r="AU591" i="17"/>
  <c r="F592" i="17"/>
  <c r="G592" i="17"/>
  <c r="I592" i="17"/>
  <c r="J592" i="17"/>
  <c r="K592" i="17"/>
  <c r="AU592" i="17"/>
  <c r="F593" i="17"/>
  <c r="G593" i="17"/>
  <c r="I593" i="17"/>
  <c r="J593" i="17"/>
  <c r="K593" i="17"/>
  <c r="AU593" i="17"/>
  <c r="F594" i="17"/>
  <c r="G594" i="17"/>
  <c r="I594" i="17"/>
  <c r="J594" i="17"/>
  <c r="K594" i="17"/>
  <c r="AU594" i="17"/>
  <c r="F595" i="17"/>
  <c r="G595" i="17"/>
  <c r="I595" i="17"/>
  <c r="J595" i="17"/>
  <c r="K595" i="17"/>
  <c r="AU595" i="17"/>
  <c r="F596" i="17"/>
  <c r="G596" i="17"/>
  <c r="I596" i="17"/>
  <c r="J596" i="17"/>
  <c r="K596" i="17"/>
  <c r="AU596" i="17"/>
  <c r="F597" i="17"/>
  <c r="G597" i="17"/>
  <c r="I597" i="17"/>
  <c r="J597" i="17"/>
  <c r="K597" i="17"/>
  <c r="AU597" i="17"/>
  <c r="F598" i="17"/>
  <c r="G598" i="17"/>
  <c r="I598" i="17"/>
  <c r="J598" i="17"/>
  <c r="K598" i="17"/>
  <c r="AU598" i="17"/>
  <c r="F599" i="17"/>
  <c r="G599" i="17"/>
  <c r="I599" i="17"/>
  <c r="J599" i="17"/>
  <c r="K599" i="17"/>
  <c r="AU599" i="17"/>
  <c r="F600" i="17"/>
  <c r="G600" i="17"/>
  <c r="I600" i="17"/>
  <c r="J600" i="17"/>
  <c r="K600" i="17"/>
  <c r="AU600" i="17"/>
  <c r="F601" i="17"/>
  <c r="G601" i="17"/>
  <c r="I601" i="17"/>
  <c r="J601" i="17"/>
  <c r="K601" i="17"/>
  <c r="AU601" i="17"/>
  <c r="F602" i="17"/>
  <c r="G602" i="17"/>
  <c r="I602" i="17"/>
  <c r="J602" i="17"/>
  <c r="K602" i="17"/>
  <c r="AU602" i="17"/>
  <c r="F603" i="17"/>
  <c r="G603" i="17"/>
  <c r="I603" i="17"/>
  <c r="J603" i="17"/>
  <c r="K603" i="17"/>
  <c r="AU603" i="17"/>
  <c r="F604" i="17"/>
  <c r="G604" i="17"/>
  <c r="I604" i="17"/>
  <c r="J604" i="17"/>
  <c r="K604" i="17"/>
  <c r="AU604" i="17"/>
  <c r="F605" i="17"/>
  <c r="G605" i="17"/>
  <c r="I605" i="17"/>
  <c r="J605" i="17"/>
  <c r="K605" i="17"/>
  <c r="AU605" i="17"/>
  <c r="F606" i="17"/>
  <c r="G606" i="17"/>
  <c r="I606" i="17"/>
  <c r="J606" i="17"/>
  <c r="K606" i="17"/>
  <c r="AU606" i="17"/>
  <c r="F607" i="17"/>
  <c r="G607" i="17"/>
  <c r="I607" i="17"/>
  <c r="J607" i="17"/>
  <c r="K607" i="17"/>
  <c r="AU607" i="17"/>
  <c r="F608" i="17"/>
  <c r="G608" i="17"/>
  <c r="I608" i="17"/>
  <c r="J608" i="17"/>
  <c r="K608" i="17"/>
  <c r="AU608" i="17"/>
  <c r="F609" i="17"/>
  <c r="G609" i="17"/>
  <c r="I609" i="17"/>
  <c r="J609" i="17"/>
  <c r="K609" i="17"/>
  <c r="AU609" i="17"/>
  <c r="F610" i="17"/>
  <c r="G610" i="17"/>
  <c r="I610" i="17"/>
  <c r="J610" i="17"/>
  <c r="K610" i="17"/>
  <c r="AU610" i="17"/>
  <c r="F611" i="17"/>
  <c r="G611" i="17"/>
  <c r="I611" i="17"/>
  <c r="J611" i="17"/>
  <c r="K611" i="17"/>
  <c r="AU611" i="17"/>
  <c r="C12" i="17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C64" i="17" s="1"/>
  <c r="C65" i="17" s="1"/>
  <c r="C66" i="17" s="1"/>
  <c r="C67" i="17" s="1"/>
  <c r="C68" i="17" s="1"/>
  <c r="C69" i="17" s="1"/>
  <c r="C70" i="17" s="1"/>
  <c r="C71" i="17" s="1"/>
  <c r="C72" i="17" s="1"/>
  <c r="C73" i="17" s="1"/>
  <c r="C74" i="17" s="1"/>
  <c r="C75" i="17" s="1"/>
  <c r="C76" i="17" s="1"/>
  <c r="C77" i="17" s="1"/>
  <c r="C78" i="17" s="1"/>
  <c r="C79" i="17" s="1"/>
  <c r="C80" i="17" s="1"/>
  <c r="C81" i="17" s="1"/>
  <c r="C82" i="17" s="1"/>
  <c r="C83" i="17" s="1"/>
  <c r="C84" i="17" s="1"/>
  <c r="C85" i="17" s="1"/>
  <c r="C86" i="17" s="1"/>
  <c r="C87" i="17" s="1"/>
  <c r="C88" i="17" s="1"/>
  <c r="C89" i="17" s="1"/>
  <c r="C90" i="17" s="1"/>
  <c r="C91" i="17" s="1"/>
  <c r="C92" i="17" s="1"/>
  <c r="C93" i="17" s="1"/>
  <c r="C94" i="17" s="1"/>
  <c r="C95" i="17" s="1"/>
  <c r="C96" i="17" s="1"/>
  <c r="C97" i="17" s="1"/>
  <c r="C98" i="17" s="1"/>
  <c r="C99" i="17" s="1"/>
  <c r="C100" i="17" s="1"/>
  <c r="C101" i="17" s="1"/>
  <c r="C102" i="17" s="1"/>
  <c r="C103" i="17" s="1"/>
  <c r="C104" i="17" s="1"/>
  <c r="C105" i="17" s="1"/>
  <c r="C106" i="17" s="1"/>
  <c r="C107" i="17" s="1"/>
  <c r="C108" i="17" s="1"/>
  <c r="C109" i="17" s="1"/>
  <c r="C110" i="17" s="1"/>
  <c r="C111" i="17" s="1"/>
  <c r="C112" i="17" s="1"/>
  <c r="C113" i="17" s="1"/>
  <c r="C114" i="17" s="1"/>
  <c r="C115" i="17" s="1"/>
  <c r="C116" i="17" s="1"/>
  <c r="C117" i="17" s="1"/>
  <c r="C118" i="17" s="1"/>
  <c r="C119" i="17" s="1"/>
  <c r="C120" i="17" s="1"/>
  <c r="C121" i="17" s="1"/>
  <c r="C122" i="17" s="1"/>
  <c r="C123" i="17" s="1"/>
  <c r="C124" i="17" s="1"/>
  <c r="C125" i="17" s="1"/>
  <c r="C126" i="17" s="1"/>
  <c r="C127" i="17" s="1"/>
  <c r="C128" i="17" s="1"/>
  <c r="C129" i="17" s="1"/>
  <c r="C130" i="17" s="1"/>
  <c r="C131" i="17" s="1"/>
  <c r="C132" i="17" s="1"/>
  <c r="C133" i="17" s="1"/>
  <c r="C134" i="17" s="1"/>
  <c r="C135" i="17" s="1"/>
  <c r="C136" i="17" s="1"/>
  <c r="C137" i="17" s="1"/>
  <c r="C138" i="17" s="1"/>
  <c r="C139" i="17" s="1"/>
  <c r="C140" i="17" s="1"/>
  <c r="C141" i="17" s="1"/>
  <c r="C142" i="17" s="1"/>
  <c r="C143" i="17" s="1"/>
  <c r="C144" i="17" s="1"/>
  <c r="C145" i="17" s="1"/>
  <c r="C146" i="17" s="1"/>
  <c r="C147" i="17" s="1"/>
  <c r="C148" i="17" s="1"/>
  <c r="C149" i="17" s="1"/>
  <c r="C150" i="17" s="1"/>
  <c r="C151" i="17" s="1"/>
  <c r="C152" i="17" s="1"/>
  <c r="C153" i="17" s="1"/>
  <c r="C154" i="17" s="1"/>
  <c r="C155" i="17" s="1"/>
  <c r="C156" i="17" s="1"/>
  <c r="C157" i="17" s="1"/>
  <c r="C158" i="17" s="1"/>
  <c r="C159" i="17" s="1"/>
  <c r="C160" i="17" s="1"/>
  <c r="C161" i="17" s="1"/>
  <c r="C162" i="17" s="1"/>
  <c r="C163" i="17" s="1"/>
  <c r="C164" i="17" s="1"/>
  <c r="C165" i="17" s="1"/>
  <c r="C166" i="17" s="1"/>
  <c r="C167" i="17" s="1"/>
  <c r="C168" i="17" s="1"/>
  <c r="C169" i="17" s="1"/>
  <c r="C170" i="17" s="1"/>
  <c r="C171" i="17" s="1"/>
  <c r="C172" i="17" s="1"/>
  <c r="C173" i="17" s="1"/>
  <c r="C174" i="17" s="1"/>
  <c r="C175" i="17" s="1"/>
  <c r="C176" i="17" s="1"/>
  <c r="C177" i="17" s="1"/>
  <c r="C178" i="17" s="1"/>
  <c r="C179" i="17" s="1"/>
  <c r="C180" i="17" s="1"/>
  <c r="C181" i="17" s="1"/>
  <c r="C182" i="17" s="1"/>
  <c r="C183" i="17" s="1"/>
  <c r="C184" i="17" s="1"/>
  <c r="C185" i="17" s="1"/>
  <c r="C186" i="17" s="1"/>
  <c r="C187" i="17" s="1"/>
  <c r="C188" i="17" s="1"/>
  <c r="C189" i="17" s="1"/>
  <c r="C190" i="17" s="1"/>
  <c r="C191" i="17" s="1"/>
  <c r="C192" i="17" s="1"/>
  <c r="C193" i="17" s="1"/>
  <c r="C194" i="17" s="1"/>
  <c r="C195" i="17" s="1"/>
  <c r="C196" i="17" s="1"/>
  <c r="C197" i="17" s="1"/>
  <c r="C198" i="17" s="1"/>
  <c r="C199" i="17" s="1"/>
  <c r="C200" i="17" s="1"/>
  <c r="C201" i="17" s="1"/>
  <c r="C202" i="17" s="1"/>
  <c r="C203" i="17" s="1"/>
  <c r="C204" i="17" s="1"/>
  <c r="C205" i="17" s="1"/>
  <c r="C206" i="17" s="1"/>
  <c r="C207" i="17" s="1"/>
  <c r="C208" i="17" s="1"/>
  <c r="C209" i="17" s="1"/>
  <c r="C210" i="17" s="1"/>
  <c r="C211" i="17" s="1"/>
  <c r="C212" i="17" s="1"/>
  <c r="C213" i="17" s="1"/>
  <c r="C214" i="17" s="1"/>
  <c r="C215" i="17" s="1"/>
  <c r="C216" i="17" s="1"/>
  <c r="C217" i="17" s="1"/>
  <c r="C218" i="17" s="1"/>
  <c r="C219" i="17" s="1"/>
  <c r="C220" i="17" s="1"/>
  <c r="C221" i="17" s="1"/>
  <c r="C222" i="17" s="1"/>
  <c r="C223" i="17" s="1"/>
  <c r="C224" i="17" s="1"/>
  <c r="C225" i="17" s="1"/>
  <c r="C226" i="17" s="1"/>
  <c r="C227" i="17" s="1"/>
  <c r="C228" i="17" s="1"/>
  <c r="C229" i="17" s="1"/>
  <c r="C230" i="17" s="1"/>
  <c r="C231" i="17" s="1"/>
  <c r="C232" i="17" s="1"/>
  <c r="C233" i="17" s="1"/>
  <c r="C234" i="17" s="1"/>
  <c r="C235" i="17" s="1"/>
  <c r="C236" i="17" s="1"/>
  <c r="C237" i="17" s="1"/>
  <c r="C238" i="17" s="1"/>
  <c r="C239" i="17" s="1"/>
  <c r="C240" i="17" s="1"/>
  <c r="C241" i="17" s="1"/>
  <c r="C242" i="17" s="1"/>
  <c r="C243" i="17" s="1"/>
  <c r="C244" i="17" s="1"/>
  <c r="C245" i="17" s="1"/>
  <c r="C246" i="17" s="1"/>
  <c r="C247" i="17" s="1"/>
  <c r="C248" i="17" s="1"/>
  <c r="C249" i="17" s="1"/>
  <c r="C250" i="17" s="1"/>
  <c r="C251" i="17" s="1"/>
  <c r="C252" i="17" s="1"/>
  <c r="C253" i="17" s="1"/>
  <c r="C254" i="17" s="1"/>
  <c r="C255" i="17" s="1"/>
  <c r="C256" i="17" s="1"/>
  <c r="C257" i="17" s="1"/>
  <c r="C258" i="17" s="1"/>
  <c r="C259" i="17" s="1"/>
  <c r="C260" i="17" s="1"/>
  <c r="C261" i="17" s="1"/>
  <c r="C262" i="17" s="1"/>
  <c r="C263" i="17" s="1"/>
  <c r="C264" i="17" s="1"/>
  <c r="C265" i="17" s="1"/>
  <c r="C266" i="17" s="1"/>
  <c r="C267" i="17" s="1"/>
  <c r="C268" i="17" s="1"/>
  <c r="C269" i="17" s="1"/>
  <c r="C270" i="17" s="1"/>
  <c r="C271" i="17" s="1"/>
  <c r="C272" i="17" s="1"/>
  <c r="C273" i="17" s="1"/>
  <c r="C274" i="17" s="1"/>
  <c r="C275" i="17" s="1"/>
  <c r="C276" i="17" s="1"/>
  <c r="C277" i="17" s="1"/>
  <c r="C278" i="17" s="1"/>
  <c r="C279" i="17" s="1"/>
  <c r="C280" i="17" s="1"/>
  <c r="C281" i="17" s="1"/>
  <c r="C282" i="17" s="1"/>
  <c r="C283" i="17" s="1"/>
  <c r="C284" i="17" s="1"/>
  <c r="C285" i="17" s="1"/>
  <c r="C286" i="17" s="1"/>
  <c r="C287" i="17" s="1"/>
  <c r="C288" i="17" s="1"/>
  <c r="C289" i="17" s="1"/>
  <c r="C290" i="17" s="1"/>
  <c r="C291" i="17" s="1"/>
  <c r="C292" i="17" s="1"/>
  <c r="C293" i="17" s="1"/>
  <c r="C294" i="17" s="1"/>
  <c r="C295" i="17" s="1"/>
  <c r="C296" i="17" s="1"/>
  <c r="C297" i="17" s="1"/>
  <c r="C298" i="17" s="1"/>
  <c r="C299" i="17" s="1"/>
  <c r="C300" i="17" s="1"/>
  <c r="C301" i="17" s="1"/>
  <c r="C302" i="17" s="1"/>
  <c r="C303" i="17" s="1"/>
  <c r="C304" i="17" s="1"/>
  <c r="C305" i="17" s="1"/>
  <c r="C306" i="17" s="1"/>
  <c r="C307" i="17" s="1"/>
  <c r="C308" i="17" s="1"/>
  <c r="C309" i="17" s="1"/>
  <c r="C310" i="17" s="1"/>
  <c r="C311" i="17" s="1"/>
  <c r="C312" i="17" s="1"/>
  <c r="C313" i="17" s="1"/>
  <c r="C314" i="17" s="1"/>
  <c r="C315" i="17" s="1"/>
  <c r="C316" i="17" s="1"/>
  <c r="C317" i="17" s="1"/>
  <c r="C318" i="17" s="1"/>
  <c r="C319" i="17" s="1"/>
  <c r="C320" i="17" s="1"/>
  <c r="C321" i="17" s="1"/>
  <c r="C322" i="17" s="1"/>
  <c r="C323" i="17" s="1"/>
  <c r="C324" i="17" s="1"/>
  <c r="C325" i="17" s="1"/>
  <c r="C326" i="17" s="1"/>
  <c r="C327" i="17" s="1"/>
  <c r="C328" i="17" s="1"/>
  <c r="C329" i="17" s="1"/>
  <c r="C330" i="17" s="1"/>
  <c r="C331" i="17" s="1"/>
  <c r="C332" i="17" s="1"/>
  <c r="C333" i="17" s="1"/>
  <c r="C334" i="17" s="1"/>
  <c r="C335" i="17" s="1"/>
  <c r="C336" i="17" s="1"/>
  <c r="C337" i="17" s="1"/>
  <c r="C338" i="17" s="1"/>
  <c r="C339" i="17" s="1"/>
  <c r="C340" i="17" s="1"/>
  <c r="C341" i="17" s="1"/>
  <c r="C342" i="17" s="1"/>
  <c r="C343" i="17" s="1"/>
  <c r="C344" i="17" s="1"/>
  <c r="C345" i="17" s="1"/>
  <c r="C346" i="17" s="1"/>
  <c r="C347" i="17" s="1"/>
  <c r="C348" i="17" s="1"/>
  <c r="C349" i="17" s="1"/>
  <c r="C350" i="17" s="1"/>
  <c r="C351" i="17" s="1"/>
  <c r="C352" i="17" s="1"/>
  <c r="C353" i="17" s="1"/>
  <c r="C354" i="17" s="1"/>
  <c r="C355" i="17" s="1"/>
  <c r="C356" i="17" s="1"/>
  <c r="C357" i="17" s="1"/>
  <c r="C358" i="17" s="1"/>
  <c r="C359" i="17" s="1"/>
  <c r="C360" i="17" s="1"/>
  <c r="C361" i="17" s="1"/>
  <c r="C362" i="17" s="1"/>
  <c r="C363" i="17" s="1"/>
  <c r="C364" i="17" s="1"/>
  <c r="C365" i="17" s="1"/>
  <c r="C366" i="17" s="1"/>
  <c r="C367" i="17" s="1"/>
  <c r="C368" i="17" s="1"/>
  <c r="C369" i="17" s="1"/>
  <c r="C370" i="17" s="1"/>
  <c r="C371" i="17" s="1"/>
  <c r="C372" i="17" s="1"/>
  <c r="C373" i="17" s="1"/>
  <c r="C374" i="17" s="1"/>
  <c r="C375" i="17" s="1"/>
  <c r="C376" i="17" s="1"/>
  <c r="C377" i="17" s="1"/>
  <c r="C378" i="17" s="1"/>
  <c r="C379" i="17" s="1"/>
  <c r="C380" i="17" s="1"/>
  <c r="C381" i="17" s="1"/>
  <c r="C382" i="17" s="1"/>
  <c r="C383" i="17" s="1"/>
  <c r="C384" i="17" s="1"/>
  <c r="C385" i="17" s="1"/>
  <c r="C386" i="17" s="1"/>
  <c r="C387" i="17" s="1"/>
  <c r="C388" i="17" s="1"/>
  <c r="C389" i="17" s="1"/>
  <c r="C390" i="17" s="1"/>
  <c r="C391" i="17" s="1"/>
  <c r="C392" i="17" s="1"/>
  <c r="C393" i="17" s="1"/>
  <c r="C394" i="17" s="1"/>
  <c r="C395" i="17" s="1"/>
  <c r="C396" i="17" s="1"/>
  <c r="C397" i="17" s="1"/>
  <c r="C398" i="17" s="1"/>
  <c r="C399" i="17" s="1"/>
  <c r="C400" i="17" s="1"/>
  <c r="C401" i="17" s="1"/>
  <c r="C402" i="17" s="1"/>
  <c r="C403" i="17" s="1"/>
  <c r="C404" i="17" s="1"/>
  <c r="C405" i="17" s="1"/>
  <c r="C406" i="17" s="1"/>
  <c r="C407" i="17" s="1"/>
  <c r="C408" i="17" s="1"/>
  <c r="C409" i="17" s="1"/>
  <c r="C410" i="17" s="1"/>
  <c r="C411" i="17" s="1"/>
  <c r="C412" i="17" s="1"/>
  <c r="C413" i="17" s="1"/>
  <c r="C414" i="17" s="1"/>
  <c r="C415" i="17" s="1"/>
  <c r="C416" i="17" s="1"/>
  <c r="C417" i="17" s="1"/>
  <c r="C418" i="17" s="1"/>
  <c r="C419" i="17" s="1"/>
  <c r="C420" i="17" s="1"/>
  <c r="C421" i="17" s="1"/>
  <c r="C422" i="17" s="1"/>
  <c r="C423" i="17" s="1"/>
  <c r="C424" i="17" s="1"/>
  <c r="C425" i="17" s="1"/>
  <c r="C426" i="17" s="1"/>
  <c r="C427" i="17" s="1"/>
  <c r="C428" i="17" s="1"/>
  <c r="C429" i="17" s="1"/>
  <c r="C430" i="17" s="1"/>
  <c r="C431" i="17" s="1"/>
  <c r="C432" i="17" s="1"/>
  <c r="C433" i="17" s="1"/>
  <c r="C434" i="17" s="1"/>
  <c r="C435" i="17" s="1"/>
  <c r="C436" i="17" s="1"/>
  <c r="C437" i="17" s="1"/>
  <c r="C438" i="17" s="1"/>
  <c r="C439" i="17" s="1"/>
  <c r="C440" i="17" s="1"/>
  <c r="C441" i="17" s="1"/>
  <c r="C442" i="17" s="1"/>
  <c r="C443" i="17" s="1"/>
  <c r="C444" i="17" s="1"/>
  <c r="C445" i="17" s="1"/>
  <c r="C446" i="17" s="1"/>
  <c r="C447" i="17" s="1"/>
  <c r="C448" i="17" s="1"/>
  <c r="C449" i="17" s="1"/>
  <c r="C450" i="17" s="1"/>
  <c r="C451" i="17" s="1"/>
  <c r="C452" i="17" s="1"/>
  <c r="C453" i="17" s="1"/>
  <c r="C454" i="17" s="1"/>
  <c r="C455" i="17" s="1"/>
  <c r="C456" i="17" s="1"/>
  <c r="C457" i="17" s="1"/>
  <c r="C458" i="17" s="1"/>
  <c r="C459" i="17" s="1"/>
  <c r="C460" i="17" s="1"/>
  <c r="C461" i="17" s="1"/>
  <c r="C462" i="17" s="1"/>
  <c r="C463" i="17" s="1"/>
  <c r="C464" i="17" s="1"/>
  <c r="C465" i="17" s="1"/>
  <c r="C466" i="17" s="1"/>
  <c r="C467" i="17" s="1"/>
  <c r="C468" i="17" s="1"/>
  <c r="C469" i="17" s="1"/>
  <c r="C470" i="17" s="1"/>
  <c r="C471" i="17" s="1"/>
  <c r="C472" i="17" s="1"/>
  <c r="C473" i="17" s="1"/>
  <c r="C474" i="17" s="1"/>
  <c r="C475" i="17" s="1"/>
  <c r="C476" i="17" s="1"/>
  <c r="C477" i="17" s="1"/>
  <c r="C478" i="17" s="1"/>
  <c r="C479" i="17" s="1"/>
  <c r="C480" i="17" s="1"/>
  <c r="C481" i="17" s="1"/>
  <c r="C482" i="17" s="1"/>
  <c r="C483" i="17" s="1"/>
  <c r="C484" i="17" s="1"/>
  <c r="C485" i="17" s="1"/>
  <c r="C486" i="17" s="1"/>
  <c r="C487" i="17" s="1"/>
  <c r="C488" i="17" s="1"/>
  <c r="C489" i="17" s="1"/>
  <c r="C490" i="17" s="1"/>
  <c r="C491" i="17" s="1"/>
  <c r="C492" i="17" s="1"/>
  <c r="C493" i="17" s="1"/>
  <c r="C494" i="17" s="1"/>
  <c r="C495" i="17" s="1"/>
  <c r="C496" i="17" s="1"/>
  <c r="C497" i="17" s="1"/>
  <c r="C498" i="17" s="1"/>
  <c r="C499" i="17" s="1"/>
  <c r="C500" i="17" s="1"/>
  <c r="C501" i="17" s="1"/>
  <c r="C502" i="17" s="1"/>
  <c r="C503" i="17" s="1"/>
  <c r="C504" i="17" s="1"/>
  <c r="C505" i="17" s="1"/>
  <c r="C506" i="17" s="1"/>
  <c r="C507" i="17" s="1"/>
  <c r="C508" i="17" s="1"/>
  <c r="C509" i="17" s="1"/>
  <c r="C510" i="17" s="1"/>
  <c r="C511" i="17" s="1"/>
  <c r="C512" i="17" s="1"/>
  <c r="C513" i="17" s="1"/>
  <c r="C514" i="17" s="1"/>
  <c r="C515" i="17" s="1"/>
  <c r="C516" i="17" s="1"/>
  <c r="C517" i="17" s="1"/>
  <c r="C518" i="17" s="1"/>
  <c r="C519" i="17" s="1"/>
  <c r="C520" i="17" s="1"/>
  <c r="C521" i="17" s="1"/>
  <c r="C522" i="17" s="1"/>
  <c r="C523" i="17" s="1"/>
  <c r="C524" i="17" s="1"/>
  <c r="C525" i="17" s="1"/>
  <c r="C526" i="17" s="1"/>
  <c r="C527" i="17" s="1"/>
  <c r="C528" i="17" s="1"/>
  <c r="C529" i="17" s="1"/>
  <c r="C530" i="17" s="1"/>
  <c r="C531" i="17" s="1"/>
  <c r="C532" i="17" s="1"/>
  <c r="C533" i="17" s="1"/>
  <c r="C534" i="17" s="1"/>
  <c r="C535" i="17" s="1"/>
  <c r="C536" i="17" s="1"/>
  <c r="C537" i="17" s="1"/>
  <c r="C538" i="17" s="1"/>
  <c r="C539" i="17" s="1"/>
  <c r="C540" i="17" s="1"/>
  <c r="C541" i="17" s="1"/>
  <c r="C542" i="17" s="1"/>
  <c r="C543" i="17" s="1"/>
  <c r="C544" i="17" s="1"/>
  <c r="C545" i="17" s="1"/>
  <c r="C546" i="17" s="1"/>
  <c r="C547" i="17" s="1"/>
  <c r="C548" i="17" s="1"/>
  <c r="C549" i="17" s="1"/>
  <c r="C550" i="17" s="1"/>
  <c r="C551" i="17" s="1"/>
  <c r="C552" i="17" s="1"/>
  <c r="C553" i="17" s="1"/>
  <c r="C554" i="17" s="1"/>
  <c r="C555" i="17" s="1"/>
  <c r="C556" i="17" s="1"/>
  <c r="C557" i="17" s="1"/>
  <c r="C558" i="17" s="1"/>
  <c r="C559" i="17" s="1"/>
  <c r="C560" i="17" s="1"/>
  <c r="C561" i="17" s="1"/>
  <c r="C562" i="17" s="1"/>
  <c r="C563" i="17" s="1"/>
  <c r="C564" i="17" s="1"/>
  <c r="C565" i="17" s="1"/>
  <c r="C566" i="17" s="1"/>
  <c r="C567" i="17" s="1"/>
  <c r="C568" i="17" s="1"/>
  <c r="C569" i="17" s="1"/>
  <c r="C570" i="17" s="1"/>
  <c r="C571" i="17" s="1"/>
  <c r="C572" i="17" s="1"/>
  <c r="C573" i="17" s="1"/>
  <c r="C574" i="17" s="1"/>
  <c r="C575" i="17" s="1"/>
  <c r="C576" i="17" s="1"/>
  <c r="C577" i="17" s="1"/>
  <c r="C578" i="17" s="1"/>
  <c r="C579" i="17" s="1"/>
  <c r="C580" i="17" s="1"/>
  <c r="C581" i="17" s="1"/>
  <c r="C582" i="17" s="1"/>
  <c r="C583" i="17" s="1"/>
  <c r="C584" i="17" s="1"/>
  <c r="C585" i="17" s="1"/>
  <c r="C586" i="17" s="1"/>
  <c r="C587" i="17" s="1"/>
  <c r="C588" i="17" s="1"/>
  <c r="C589" i="17" s="1"/>
  <c r="C590" i="17" s="1"/>
  <c r="C591" i="17" s="1"/>
  <c r="C592" i="17" s="1"/>
  <c r="C593" i="17" s="1"/>
  <c r="C594" i="17" s="1"/>
  <c r="C595" i="17" s="1"/>
  <c r="C596" i="17" s="1"/>
  <c r="C597" i="17" s="1"/>
  <c r="C598" i="17" s="1"/>
  <c r="C599" i="17" s="1"/>
  <c r="C600" i="17" s="1"/>
  <c r="C601" i="17" s="1"/>
  <c r="C602" i="17" s="1"/>
  <c r="C603" i="17" s="1"/>
  <c r="C604" i="17" s="1"/>
  <c r="C605" i="17" s="1"/>
  <c r="C606" i="17" s="1"/>
  <c r="C607" i="17" s="1"/>
  <c r="C608" i="17" s="1"/>
  <c r="C609" i="17" s="1"/>
  <c r="C610" i="17" s="1"/>
  <c r="C611" i="17" s="1"/>
  <c r="AU12" i="17"/>
  <c r="AT11" i="17"/>
  <c r="K12" i="17"/>
  <c r="J12" i="17"/>
  <c r="I12" i="17"/>
  <c r="G12" i="17"/>
  <c r="F12" i="17"/>
  <c r="AU11" i="17"/>
  <c r="E11" i="17"/>
  <c r="AF11" i="17" s="1"/>
  <c r="C11" i="17"/>
  <c r="AO10" i="17"/>
  <c r="AN10" i="17"/>
  <c r="AM10" i="17"/>
  <c r="AL10" i="17"/>
  <c r="AK10" i="17"/>
  <c r="AJ10" i="17"/>
  <c r="AI10" i="17"/>
  <c r="AH10" i="17"/>
  <c r="AG10" i="17"/>
  <c r="AF10" i="17"/>
  <c r="AU8" i="17"/>
  <c r="AT8" i="17"/>
  <c r="AS8" i="17"/>
  <c r="AO8" i="17"/>
  <c r="AN8" i="17"/>
  <c r="AM8" i="17"/>
  <c r="AL8" i="17"/>
  <c r="AK8" i="17"/>
  <c r="AJ8" i="17"/>
  <c r="AI8" i="17"/>
  <c r="AH8" i="17"/>
  <c r="AG8" i="17"/>
  <c r="AF8" i="17"/>
  <c r="E12" i="17" l="1"/>
  <c r="AS11" i="17"/>
  <c r="M15" i="14"/>
  <c r="X40" i="14"/>
  <c r="X39" i="14"/>
  <c r="AG45" i="14" s="1"/>
  <c r="X38" i="14"/>
  <c r="O47" i="14"/>
  <c r="I47" i="14" a="1"/>
  <c r="I47" i="14" s="1"/>
  <c r="A47" i="14"/>
  <c r="O46" i="14"/>
  <c r="I46" i="14" a="1"/>
  <c r="I46" i="14" s="1"/>
  <c r="A46" i="14"/>
  <c r="AE45" i="14"/>
  <c r="O45" i="14"/>
  <c r="I45" i="14" a="1"/>
  <c r="I45" i="14" s="1"/>
  <c r="A45" i="14"/>
  <c r="AE44" i="14"/>
  <c r="O44" i="14"/>
  <c r="I44" i="14" a="1"/>
  <c r="I44" i="14" s="1"/>
  <c r="A44" i="14"/>
  <c r="AE43" i="14"/>
  <c r="O43" i="14"/>
  <c r="I43" i="14" a="1"/>
  <c r="I43" i="14" s="1"/>
  <c r="A43" i="14"/>
  <c r="AE42" i="14"/>
  <c r="O42" i="14"/>
  <c r="I42" i="14" a="1"/>
  <c r="I42" i="14" s="1"/>
  <c r="A42" i="14"/>
  <c r="AE41" i="14"/>
  <c r="O41" i="14"/>
  <c r="I41" i="14" a="1"/>
  <c r="I41" i="14" s="1"/>
  <c r="A41" i="14"/>
  <c r="AE40" i="14"/>
  <c r="O40" i="14"/>
  <c r="I40" i="14" a="1"/>
  <c r="I40" i="14" s="1"/>
  <c r="A40" i="14"/>
  <c r="AD39" i="14"/>
  <c r="O39" i="14"/>
  <c r="I39" i="14" a="1"/>
  <c r="I39" i="14" s="1"/>
  <c r="A39" i="14"/>
  <c r="AE38" i="14"/>
  <c r="O38" i="14"/>
  <c r="I38" i="14" a="1"/>
  <c r="I38" i="14" s="1"/>
  <c r="AE37" i="14"/>
  <c r="AE36" i="14"/>
  <c r="AD35" i="14"/>
  <c r="AE34" i="14"/>
  <c r="X34" i="14"/>
  <c r="V34" i="14"/>
  <c r="O34" i="14"/>
  <c r="I34" i="14" a="1"/>
  <c r="I34" i="14" s="1"/>
  <c r="A34" i="14"/>
  <c r="AE33" i="14"/>
  <c r="X33" i="14"/>
  <c r="V33" i="14"/>
  <c r="O33" i="14" s="1"/>
  <c r="I33" i="14" a="1"/>
  <c r="I33" i="14" s="1"/>
  <c r="A33" i="14"/>
  <c r="AD32" i="14"/>
  <c r="X32" i="14"/>
  <c r="V32" i="14"/>
  <c r="O32" i="14"/>
  <c r="I32" i="14" a="1"/>
  <c r="I32" i="14" s="1"/>
  <c r="A32" i="14"/>
  <c r="X31" i="14"/>
  <c r="V31" i="14"/>
  <c r="O31" i="14"/>
  <c r="I31" i="14" a="1"/>
  <c r="I31" i="14" s="1"/>
  <c r="A31" i="14"/>
  <c r="X30" i="14"/>
  <c r="V30" i="14"/>
  <c r="O30" i="14" s="1"/>
  <c r="I30" i="14" a="1"/>
  <c r="I30" i="14" s="1"/>
  <c r="A30" i="14"/>
  <c r="X29" i="14"/>
  <c r="V29" i="14"/>
  <c r="O29" i="14"/>
  <c r="I29" i="14" a="1"/>
  <c r="I29" i="14" s="1"/>
  <c r="A29" i="14"/>
  <c r="X28" i="14"/>
  <c r="V28" i="14"/>
  <c r="O28" i="14" s="1"/>
  <c r="I28" i="14" a="1"/>
  <c r="I28" i="14" s="1"/>
  <c r="A28" i="14"/>
  <c r="AE27" i="14"/>
  <c r="X27" i="14"/>
  <c r="V27" i="14"/>
  <c r="O27" i="14"/>
  <c r="I27" i="14" a="1"/>
  <c r="I27" i="14" s="1"/>
  <c r="A27" i="14"/>
  <c r="AE26" i="14"/>
  <c r="X26" i="14"/>
  <c r="V26" i="14"/>
  <c r="O26" i="14" s="1"/>
  <c r="J26" i="14"/>
  <c r="I26" i="14" a="1"/>
  <c r="I26" i="14" s="1"/>
  <c r="A26" i="14"/>
  <c r="AG25" i="14"/>
  <c r="AE25" i="14"/>
  <c r="X25" i="14"/>
  <c r="V25" i="14"/>
  <c r="O25" i="14" s="1"/>
  <c r="J25" i="14"/>
  <c r="I25" i="14" a="1"/>
  <c r="I25" i="14" s="1"/>
  <c r="A25" i="14"/>
  <c r="AE24" i="14"/>
  <c r="X24" i="14"/>
  <c r="V24" i="14"/>
  <c r="O24" i="14" s="1"/>
  <c r="J24" i="14"/>
  <c r="I24" i="14" a="1"/>
  <c r="I24" i="14" s="1"/>
  <c r="A24" i="14"/>
  <c r="AE23" i="14"/>
  <c r="X23" i="14"/>
  <c r="V23" i="14"/>
  <c r="O23" i="14" s="1"/>
  <c r="I23" i="14" a="1"/>
  <c r="I23" i="14" s="1"/>
  <c r="A23" i="14"/>
  <c r="AD22" i="14"/>
  <c r="X22" i="14"/>
  <c r="V22" i="14"/>
  <c r="O22" i="14" s="1"/>
  <c r="I22" i="14" a="1"/>
  <c r="I22" i="14" s="1"/>
  <c r="A22" i="14"/>
  <c r="AE21" i="14"/>
  <c r="X21" i="14"/>
  <c r="V21" i="14"/>
  <c r="O21" i="14" s="1"/>
  <c r="J21" i="14"/>
  <c r="I21" i="14" a="1"/>
  <c r="I21" i="14" s="1"/>
  <c r="A21" i="14"/>
  <c r="AE20" i="14"/>
  <c r="X20" i="14"/>
  <c r="V20" i="14"/>
  <c r="O20" i="14" s="1"/>
  <c r="J20" i="14"/>
  <c r="I20" i="14" a="1"/>
  <c r="I20" i="14" s="1"/>
  <c r="A20" i="14"/>
  <c r="AD19" i="14"/>
  <c r="X19" i="14"/>
  <c r="V19" i="14"/>
  <c r="O19" i="14"/>
  <c r="J19" i="14"/>
  <c r="I19" i="14" a="1"/>
  <c r="I19" i="14" s="1"/>
  <c r="A19" i="14"/>
  <c r="X18" i="14"/>
  <c r="V18" i="14"/>
  <c r="O18" i="14" s="1"/>
  <c r="N18" i="14"/>
  <c r="J18" i="14"/>
  <c r="I18" i="14" a="1"/>
  <c r="I18" i="14" s="1"/>
  <c r="A18" i="14"/>
  <c r="X17" i="14"/>
  <c r="W17" i="14"/>
  <c r="V17" i="14"/>
  <c r="U17" i="14"/>
  <c r="I17" i="14" a="1"/>
  <c r="I17" i="14" s="1"/>
  <c r="A17" i="14"/>
  <c r="X16" i="14"/>
  <c r="J16" i="14"/>
  <c r="I16" i="14" a="1"/>
  <c r="I16" i="14" s="1"/>
  <c r="A16" i="14"/>
  <c r="X15" i="14"/>
  <c r="J15" i="14"/>
  <c r="I15" i="14" a="1"/>
  <c r="I15" i="14" s="1"/>
  <c r="A15" i="14"/>
  <c r="X14" i="14"/>
  <c r="J14" i="14"/>
  <c r="I14" i="14" a="1"/>
  <c r="I14" i="14" s="1"/>
  <c r="A14" i="14"/>
  <c r="X13" i="14"/>
  <c r="I13" i="14" a="1"/>
  <c r="I13" i="14" s="1"/>
  <c r="A13" i="14"/>
  <c r="O12" i="14"/>
  <c r="I12" i="14" a="1"/>
  <c r="I12" i="14" s="1"/>
  <c r="A12" i="14"/>
  <c r="O11" i="14"/>
  <c r="J11" i="14"/>
  <c r="I11" i="14" a="1"/>
  <c r="I11" i="14" s="1"/>
  <c r="C11" i="14"/>
  <c r="C38" i="14" s="1"/>
  <c r="A38" i="14" s="1"/>
  <c r="AG10" i="14"/>
  <c r="AG14" i="14" s="1"/>
  <c r="O10" i="14"/>
  <c r="J10" i="14"/>
  <c r="I10" i="14" a="1"/>
  <c r="I10" i="14" s="1"/>
  <c r="A10" i="14"/>
  <c r="X9" i="14"/>
  <c r="J9" i="14"/>
  <c r="I9" i="14"/>
  <c r="AD8" i="14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1" i="13"/>
  <c r="F13" i="13"/>
  <c r="G13" i="13"/>
  <c r="H13" i="13"/>
  <c r="I13" i="13"/>
  <c r="J13" i="13"/>
  <c r="K13" i="13"/>
  <c r="F14" i="13"/>
  <c r="G14" i="13"/>
  <c r="H14" i="13"/>
  <c r="I14" i="13"/>
  <c r="J14" i="13"/>
  <c r="K14" i="13"/>
  <c r="F15" i="13"/>
  <c r="G15" i="13"/>
  <c r="H15" i="13"/>
  <c r="I15" i="13"/>
  <c r="J15" i="13"/>
  <c r="K15" i="13"/>
  <c r="F16" i="13"/>
  <c r="G16" i="13"/>
  <c r="H16" i="13"/>
  <c r="I16" i="13"/>
  <c r="J16" i="13"/>
  <c r="K16" i="13"/>
  <c r="F17" i="13"/>
  <c r="G17" i="13"/>
  <c r="H17" i="13"/>
  <c r="I17" i="13"/>
  <c r="J17" i="13"/>
  <c r="K17" i="13"/>
  <c r="F18" i="13"/>
  <c r="G18" i="13"/>
  <c r="H18" i="13"/>
  <c r="I18" i="13"/>
  <c r="J18" i="13"/>
  <c r="K18" i="13"/>
  <c r="F19" i="13"/>
  <c r="G19" i="13"/>
  <c r="H19" i="13"/>
  <c r="I19" i="13"/>
  <c r="J19" i="13"/>
  <c r="K19" i="13"/>
  <c r="F20" i="13"/>
  <c r="G20" i="13"/>
  <c r="H20" i="13"/>
  <c r="I20" i="13"/>
  <c r="J20" i="13"/>
  <c r="K20" i="13"/>
  <c r="F21" i="13"/>
  <c r="G21" i="13"/>
  <c r="H21" i="13"/>
  <c r="I21" i="13"/>
  <c r="J21" i="13"/>
  <c r="K21" i="13"/>
  <c r="F22" i="13"/>
  <c r="G22" i="13"/>
  <c r="H22" i="13"/>
  <c r="I22" i="13"/>
  <c r="J22" i="13"/>
  <c r="K22" i="13"/>
  <c r="F23" i="13"/>
  <c r="G23" i="13"/>
  <c r="H23" i="13"/>
  <c r="I23" i="13"/>
  <c r="J23" i="13"/>
  <c r="K23" i="13"/>
  <c r="F24" i="13"/>
  <c r="G24" i="13"/>
  <c r="H24" i="13"/>
  <c r="I24" i="13"/>
  <c r="J24" i="13"/>
  <c r="K24" i="13"/>
  <c r="F25" i="13"/>
  <c r="G25" i="13"/>
  <c r="H25" i="13"/>
  <c r="I25" i="13"/>
  <c r="J25" i="13"/>
  <c r="K25" i="13"/>
  <c r="F26" i="13"/>
  <c r="G26" i="13"/>
  <c r="H26" i="13"/>
  <c r="I26" i="13"/>
  <c r="J26" i="13"/>
  <c r="K26" i="13"/>
  <c r="F27" i="13"/>
  <c r="G27" i="13"/>
  <c r="H27" i="13"/>
  <c r="I27" i="13"/>
  <c r="J27" i="13"/>
  <c r="K27" i="13"/>
  <c r="F28" i="13"/>
  <c r="G28" i="13"/>
  <c r="H28" i="13"/>
  <c r="I28" i="13"/>
  <c r="J28" i="13"/>
  <c r="K28" i="13"/>
  <c r="F29" i="13"/>
  <c r="G29" i="13"/>
  <c r="H29" i="13"/>
  <c r="I29" i="13"/>
  <c r="J29" i="13"/>
  <c r="K29" i="13"/>
  <c r="F30" i="13"/>
  <c r="G30" i="13"/>
  <c r="H30" i="13"/>
  <c r="I30" i="13"/>
  <c r="J30" i="13"/>
  <c r="K30" i="13"/>
  <c r="F31" i="13"/>
  <c r="G31" i="13"/>
  <c r="H31" i="13"/>
  <c r="I31" i="13"/>
  <c r="J31" i="13"/>
  <c r="K31" i="13"/>
  <c r="F32" i="13"/>
  <c r="G32" i="13"/>
  <c r="H32" i="13"/>
  <c r="I32" i="13"/>
  <c r="J32" i="13"/>
  <c r="K32" i="13"/>
  <c r="F33" i="13"/>
  <c r="G33" i="13"/>
  <c r="H33" i="13"/>
  <c r="I33" i="13"/>
  <c r="J33" i="13"/>
  <c r="K33" i="13"/>
  <c r="F34" i="13"/>
  <c r="G34" i="13"/>
  <c r="H34" i="13"/>
  <c r="I34" i="13"/>
  <c r="J34" i="13"/>
  <c r="K34" i="13"/>
  <c r="F35" i="13"/>
  <c r="G35" i="13"/>
  <c r="H35" i="13"/>
  <c r="I35" i="13"/>
  <c r="J35" i="13"/>
  <c r="K35" i="13"/>
  <c r="F36" i="13"/>
  <c r="G36" i="13"/>
  <c r="H36" i="13"/>
  <c r="I36" i="13"/>
  <c r="J36" i="13"/>
  <c r="K36" i="13"/>
  <c r="F37" i="13"/>
  <c r="G37" i="13"/>
  <c r="H37" i="13"/>
  <c r="I37" i="13"/>
  <c r="J37" i="13"/>
  <c r="K37" i="13"/>
  <c r="F38" i="13"/>
  <c r="G38" i="13"/>
  <c r="H38" i="13"/>
  <c r="I38" i="13"/>
  <c r="J38" i="13"/>
  <c r="K38" i="13"/>
  <c r="F39" i="13"/>
  <c r="G39" i="13"/>
  <c r="H39" i="13"/>
  <c r="I39" i="13"/>
  <c r="J39" i="13"/>
  <c r="K39" i="13"/>
  <c r="F40" i="13"/>
  <c r="G40" i="13"/>
  <c r="H40" i="13"/>
  <c r="I40" i="13"/>
  <c r="J40" i="13"/>
  <c r="K40" i="13"/>
  <c r="F41" i="13"/>
  <c r="G41" i="13"/>
  <c r="H41" i="13"/>
  <c r="I41" i="13"/>
  <c r="J41" i="13"/>
  <c r="K41" i="13"/>
  <c r="F42" i="13"/>
  <c r="G42" i="13"/>
  <c r="H42" i="13"/>
  <c r="I42" i="13"/>
  <c r="J42" i="13"/>
  <c r="K42" i="13"/>
  <c r="F43" i="13"/>
  <c r="G43" i="13"/>
  <c r="H43" i="13"/>
  <c r="I43" i="13"/>
  <c r="J43" i="13"/>
  <c r="K43" i="13"/>
  <c r="F44" i="13"/>
  <c r="G44" i="13"/>
  <c r="H44" i="13"/>
  <c r="I44" i="13"/>
  <c r="J44" i="13"/>
  <c r="K44" i="13"/>
  <c r="F45" i="13"/>
  <c r="G45" i="13"/>
  <c r="H45" i="13"/>
  <c r="I45" i="13"/>
  <c r="J45" i="13"/>
  <c r="K45" i="13"/>
  <c r="F46" i="13"/>
  <c r="G46" i="13"/>
  <c r="H46" i="13"/>
  <c r="I46" i="13"/>
  <c r="J46" i="13"/>
  <c r="K46" i="13"/>
  <c r="F47" i="13"/>
  <c r="G47" i="13"/>
  <c r="H47" i="13"/>
  <c r="I47" i="13"/>
  <c r="J47" i="13"/>
  <c r="K47" i="13"/>
  <c r="F48" i="13"/>
  <c r="G48" i="13"/>
  <c r="H48" i="13"/>
  <c r="I48" i="13"/>
  <c r="J48" i="13"/>
  <c r="K48" i="13"/>
  <c r="F49" i="13"/>
  <c r="G49" i="13"/>
  <c r="H49" i="13"/>
  <c r="I49" i="13"/>
  <c r="J49" i="13"/>
  <c r="K49" i="13"/>
  <c r="F50" i="13"/>
  <c r="G50" i="13"/>
  <c r="H50" i="13"/>
  <c r="I50" i="13"/>
  <c r="J50" i="13"/>
  <c r="K50" i="13"/>
  <c r="F51" i="13"/>
  <c r="G51" i="13"/>
  <c r="H51" i="13"/>
  <c r="I51" i="13"/>
  <c r="J51" i="13"/>
  <c r="K51" i="13"/>
  <c r="F52" i="13"/>
  <c r="G52" i="13"/>
  <c r="H52" i="13"/>
  <c r="I52" i="13"/>
  <c r="J52" i="13"/>
  <c r="K52" i="13"/>
  <c r="F53" i="13"/>
  <c r="G53" i="13"/>
  <c r="H53" i="13"/>
  <c r="I53" i="13"/>
  <c r="J53" i="13"/>
  <c r="K53" i="13"/>
  <c r="F54" i="13"/>
  <c r="G54" i="13"/>
  <c r="H54" i="13"/>
  <c r="I54" i="13"/>
  <c r="J54" i="13"/>
  <c r="K54" i="13"/>
  <c r="F55" i="13"/>
  <c r="G55" i="13"/>
  <c r="H55" i="13"/>
  <c r="I55" i="13"/>
  <c r="J55" i="13"/>
  <c r="K55" i="13"/>
  <c r="F56" i="13"/>
  <c r="G56" i="13"/>
  <c r="H56" i="13"/>
  <c r="I56" i="13"/>
  <c r="J56" i="13"/>
  <c r="K56" i="13"/>
  <c r="F57" i="13"/>
  <c r="G57" i="13"/>
  <c r="H57" i="13"/>
  <c r="I57" i="13"/>
  <c r="J57" i="13"/>
  <c r="K57" i="13"/>
  <c r="F58" i="13"/>
  <c r="G58" i="13"/>
  <c r="H58" i="13"/>
  <c r="I58" i="13"/>
  <c r="J58" i="13"/>
  <c r="K58" i="13"/>
  <c r="F59" i="13"/>
  <c r="G59" i="13"/>
  <c r="H59" i="13"/>
  <c r="I59" i="13"/>
  <c r="J59" i="13"/>
  <c r="K59" i="13"/>
  <c r="F60" i="13"/>
  <c r="G60" i="13"/>
  <c r="H60" i="13"/>
  <c r="I60" i="13"/>
  <c r="J60" i="13"/>
  <c r="K60" i="13"/>
  <c r="F61" i="13"/>
  <c r="G61" i="13"/>
  <c r="H61" i="13"/>
  <c r="I61" i="13"/>
  <c r="J61" i="13"/>
  <c r="K61" i="13"/>
  <c r="F62" i="13"/>
  <c r="G62" i="13"/>
  <c r="H62" i="13"/>
  <c r="I62" i="13"/>
  <c r="J62" i="13"/>
  <c r="K62" i="13"/>
  <c r="F63" i="13"/>
  <c r="G63" i="13"/>
  <c r="H63" i="13"/>
  <c r="I63" i="13"/>
  <c r="J63" i="13"/>
  <c r="K63" i="13"/>
  <c r="F64" i="13"/>
  <c r="G64" i="13"/>
  <c r="H64" i="13"/>
  <c r="I64" i="13"/>
  <c r="J64" i="13"/>
  <c r="K64" i="13"/>
  <c r="F65" i="13"/>
  <c r="G65" i="13"/>
  <c r="H65" i="13"/>
  <c r="I65" i="13"/>
  <c r="J65" i="13"/>
  <c r="K65" i="13"/>
  <c r="F66" i="13"/>
  <c r="G66" i="13"/>
  <c r="H66" i="13"/>
  <c r="I66" i="13"/>
  <c r="J66" i="13"/>
  <c r="K66" i="13"/>
  <c r="F67" i="13"/>
  <c r="G67" i="13"/>
  <c r="H67" i="13"/>
  <c r="I67" i="13"/>
  <c r="J67" i="13"/>
  <c r="K67" i="13"/>
  <c r="F68" i="13"/>
  <c r="G68" i="13"/>
  <c r="H68" i="13"/>
  <c r="I68" i="13"/>
  <c r="J68" i="13"/>
  <c r="K68" i="13"/>
  <c r="F69" i="13"/>
  <c r="G69" i="13"/>
  <c r="H69" i="13"/>
  <c r="I69" i="13"/>
  <c r="J69" i="13"/>
  <c r="K69" i="13"/>
  <c r="F70" i="13"/>
  <c r="G70" i="13"/>
  <c r="H70" i="13"/>
  <c r="I70" i="13"/>
  <c r="J70" i="13"/>
  <c r="K70" i="13"/>
  <c r="F71" i="13"/>
  <c r="G71" i="13"/>
  <c r="H71" i="13"/>
  <c r="I71" i="13"/>
  <c r="J71" i="13"/>
  <c r="K71" i="13"/>
  <c r="F72" i="13"/>
  <c r="G72" i="13"/>
  <c r="H72" i="13"/>
  <c r="I72" i="13"/>
  <c r="J72" i="13"/>
  <c r="K72" i="13"/>
  <c r="F73" i="13"/>
  <c r="G73" i="13"/>
  <c r="H73" i="13"/>
  <c r="I73" i="13"/>
  <c r="J73" i="13"/>
  <c r="K73" i="13"/>
  <c r="F74" i="13"/>
  <c r="G74" i="13"/>
  <c r="H74" i="13"/>
  <c r="I74" i="13"/>
  <c r="J74" i="13"/>
  <c r="K74" i="13"/>
  <c r="F75" i="13"/>
  <c r="G75" i="13"/>
  <c r="H75" i="13"/>
  <c r="I75" i="13"/>
  <c r="J75" i="13"/>
  <c r="K75" i="13"/>
  <c r="F76" i="13"/>
  <c r="G76" i="13"/>
  <c r="H76" i="13"/>
  <c r="I76" i="13"/>
  <c r="J76" i="13"/>
  <c r="K76" i="13"/>
  <c r="F77" i="13"/>
  <c r="G77" i="13"/>
  <c r="H77" i="13"/>
  <c r="I77" i="13"/>
  <c r="J77" i="13"/>
  <c r="K77" i="13"/>
  <c r="F78" i="13"/>
  <c r="G78" i="13"/>
  <c r="H78" i="13"/>
  <c r="I78" i="13"/>
  <c r="J78" i="13"/>
  <c r="K78" i="13"/>
  <c r="F79" i="13"/>
  <c r="G79" i="13"/>
  <c r="H79" i="13"/>
  <c r="I79" i="13"/>
  <c r="J79" i="13"/>
  <c r="K79" i="13"/>
  <c r="F80" i="13"/>
  <c r="G80" i="13"/>
  <c r="H80" i="13"/>
  <c r="I80" i="13"/>
  <c r="J80" i="13"/>
  <c r="K80" i="13"/>
  <c r="F81" i="13"/>
  <c r="G81" i="13"/>
  <c r="H81" i="13"/>
  <c r="I81" i="13"/>
  <c r="J81" i="13"/>
  <c r="K81" i="13"/>
  <c r="F82" i="13"/>
  <c r="G82" i="13"/>
  <c r="H82" i="13"/>
  <c r="I82" i="13"/>
  <c r="J82" i="13"/>
  <c r="K82" i="13"/>
  <c r="F83" i="13"/>
  <c r="G83" i="13"/>
  <c r="H83" i="13"/>
  <c r="I83" i="13"/>
  <c r="J83" i="13"/>
  <c r="K83" i="13"/>
  <c r="F84" i="13"/>
  <c r="G84" i="13"/>
  <c r="H84" i="13"/>
  <c r="I84" i="13"/>
  <c r="J84" i="13"/>
  <c r="K84" i="13"/>
  <c r="F85" i="13"/>
  <c r="G85" i="13"/>
  <c r="H85" i="13"/>
  <c r="I85" i="13"/>
  <c r="J85" i="13"/>
  <c r="K85" i="13"/>
  <c r="F86" i="13"/>
  <c r="G86" i="13"/>
  <c r="H86" i="13"/>
  <c r="I86" i="13"/>
  <c r="J86" i="13"/>
  <c r="K86" i="13"/>
  <c r="F87" i="13"/>
  <c r="G87" i="13"/>
  <c r="H87" i="13"/>
  <c r="I87" i="13"/>
  <c r="J87" i="13"/>
  <c r="K87" i="13"/>
  <c r="F88" i="13"/>
  <c r="G88" i="13"/>
  <c r="H88" i="13"/>
  <c r="I88" i="13"/>
  <c r="J88" i="13"/>
  <c r="K88" i="13"/>
  <c r="F89" i="13"/>
  <c r="G89" i="13"/>
  <c r="H89" i="13"/>
  <c r="I89" i="13"/>
  <c r="J89" i="13"/>
  <c r="K89" i="13"/>
  <c r="F90" i="13"/>
  <c r="G90" i="13"/>
  <c r="H90" i="13"/>
  <c r="I90" i="13"/>
  <c r="J90" i="13"/>
  <c r="K90" i="13"/>
  <c r="F91" i="13"/>
  <c r="G91" i="13"/>
  <c r="H91" i="13"/>
  <c r="I91" i="13"/>
  <c r="J91" i="13"/>
  <c r="K91" i="13"/>
  <c r="F92" i="13"/>
  <c r="G92" i="13"/>
  <c r="H92" i="13"/>
  <c r="I92" i="13"/>
  <c r="J92" i="13"/>
  <c r="K92" i="13"/>
  <c r="F93" i="13"/>
  <c r="G93" i="13"/>
  <c r="H93" i="13"/>
  <c r="I93" i="13"/>
  <c r="J93" i="13"/>
  <c r="K93" i="13"/>
  <c r="F94" i="13"/>
  <c r="G94" i="13"/>
  <c r="H94" i="13"/>
  <c r="I94" i="13"/>
  <c r="J94" i="13"/>
  <c r="K94" i="13"/>
  <c r="F95" i="13"/>
  <c r="G95" i="13"/>
  <c r="H95" i="13"/>
  <c r="I95" i="13"/>
  <c r="J95" i="13"/>
  <c r="K95" i="13"/>
  <c r="F96" i="13"/>
  <c r="G96" i="13"/>
  <c r="H96" i="13"/>
  <c r="I96" i="13"/>
  <c r="J96" i="13"/>
  <c r="K96" i="13"/>
  <c r="F97" i="13"/>
  <c r="G97" i="13"/>
  <c r="H97" i="13"/>
  <c r="I97" i="13"/>
  <c r="J97" i="13"/>
  <c r="K97" i="13"/>
  <c r="F98" i="13"/>
  <c r="G98" i="13"/>
  <c r="H98" i="13"/>
  <c r="I98" i="13"/>
  <c r="J98" i="13"/>
  <c r="K98" i="13"/>
  <c r="F99" i="13"/>
  <c r="G99" i="13"/>
  <c r="H99" i="13"/>
  <c r="I99" i="13"/>
  <c r="J99" i="13"/>
  <c r="K99" i="13"/>
  <c r="F100" i="13"/>
  <c r="G100" i="13"/>
  <c r="H100" i="13"/>
  <c r="I100" i="13"/>
  <c r="J100" i="13"/>
  <c r="K100" i="13"/>
  <c r="F101" i="13"/>
  <c r="G101" i="13"/>
  <c r="H101" i="13"/>
  <c r="I101" i="13"/>
  <c r="J101" i="13"/>
  <c r="K101" i="13"/>
  <c r="F102" i="13"/>
  <c r="G102" i="13"/>
  <c r="H102" i="13"/>
  <c r="I102" i="13"/>
  <c r="J102" i="13"/>
  <c r="K102" i="13"/>
  <c r="F103" i="13"/>
  <c r="G103" i="13"/>
  <c r="H103" i="13"/>
  <c r="I103" i="13"/>
  <c r="J103" i="13"/>
  <c r="K103" i="13"/>
  <c r="F104" i="13"/>
  <c r="G104" i="13"/>
  <c r="H104" i="13"/>
  <c r="I104" i="13"/>
  <c r="J104" i="13"/>
  <c r="K104" i="13"/>
  <c r="F105" i="13"/>
  <c r="G105" i="13"/>
  <c r="H105" i="13"/>
  <c r="I105" i="13"/>
  <c r="J105" i="13"/>
  <c r="K105" i="13"/>
  <c r="F106" i="13"/>
  <c r="G106" i="13"/>
  <c r="H106" i="13"/>
  <c r="I106" i="13"/>
  <c r="J106" i="13"/>
  <c r="K106" i="13"/>
  <c r="F107" i="13"/>
  <c r="G107" i="13"/>
  <c r="H107" i="13"/>
  <c r="I107" i="13"/>
  <c r="J107" i="13"/>
  <c r="K107" i="13"/>
  <c r="F108" i="13"/>
  <c r="G108" i="13"/>
  <c r="H108" i="13"/>
  <c r="I108" i="13"/>
  <c r="J108" i="13"/>
  <c r="K108" i="13"/>
  <c r="F109" i="13"/>
  <c r="G109" i="13"/>
  <c r="H109" i="13"/>
  <c r="I109" i="13"/>
  <c r="J109" i="13"/>
  <c r="K109" i="13"/>
  <c r="F110" i="13"/>
  <c r="G110" i="13"/>
  <c r="H110" i="13"/>
  <c r="I110" i="13"/>
  <c r="J110" i="13"/>
  <c r="K110" i="13"/>
  <c r="F111" i="13"/>
  <c r="G111" i="13"/>
  <c r="H111" i="13"/>
  <c r="I111" i="13"/>
  <c r="J111" i="13"/>
  <c r="K111" i="13"/>
  <c r="F112" i="13"/>
  <c r="G112" i="13"/>
  <c r="H112" i="13"/>
  <c r="I112" i="13"/>
  <c r="J112" i="13"/>
  <c r="K112" i="13"/>
  <c r="F113" i="13"/>
  <c r="G113" i="13"/>
  <c r="H113" i="13"/>
  <c r="I113" i="13"/>
  <c r="J113" i="13"/>
  <c r="K113" i="13"/>
  <c r="F114" i="13"/>
  <c r="G114" i="13"/>
  <c r="H114" i="13"/>
  <c r="I114" i="13"/>
  <c r="J114" i="13"/>
  <c r="K114" i="13"/>
  <c r="F115" i="13"/>
  <c r="G115" i="13"/>
  <c r="H115" i="13"/>
  <c r="I115" i="13"/>
  <c r="J115" i="13"/>
  <c r="K115" i="13"/>
  <c r="F116" i="13"/>
  <c r="G116" i="13"/>
  <c r="H116" i="13"/>
  <c r="I116" i="13"/>
  <c r="J116" i="13"/>
  <c r="K116" i="13"/>
  <c r="F117" i="13"/>
  <c r="G117" i="13"/>
  <c r="H117" i="13"/>
  <c r="I117" i="13"/>
  <c r="J117" i="13"/>
  <c r="K117" i="13"/>
  <c r="F118" i="13"/>
  <c r="G118" i="13"/>
  <c r="H118" i="13"/>
  <c r="I118" i="13"/>
  <c r="J118" i="13"/>
  <c r="K118" i="13"/>
  <c r="F119" i="13"/>
  <c r="G119" i="13"/>
  <c r="H119" i="13"/>
  <c r="I119" i="13"/>
  <c r="J119" i="13"/>
  <c r="K119" i="13"/>
  <c r="F120" i="13"/>
  <c r="G120" i="13"/>
  <c r="H120" i="13"/>
  <c r="I120" i="13"/>
  <c r="J120" i="13"/>
  <c r="K120" i="13"/>
  <c r="F121" i="13"/>
  <c r="G121" i="13"/>
  <c r="H121" i="13"/>
  <c r="I121" i="13"/>
  <c r="J121" i="13"/>
  <c r="K121" i="13"/>
  <c r="F122" i="13"/>
  <c r="G122" i="13"/>
  <c r="H122" i="13"/>
  <c r="I122" i="13"/>
  <c r="J122" i="13"/>
  <c r="K122" i="13"/>
  <c r="F123" i="13"/>
  <c r="G123" i="13"/>
  <c r="H123" i="13"/>
  <c r="I123" i="13"/>
  <c r="J123" i="13"/>
  <c r="K123" i="13"/>
  <c r="F124" i="13"/>
  <c r="G124" i="13"/>
  <c r="H124" i="13"/>
  <c r="I124" i="13"/>
  <c r="J124" i="13"/>
  <c r="K124" i="13"/>
  <c r="F125" i="13"/>
  <c r="G125" i="13"/>
  <c r="H125" i="13"/>
  <c r="I125" i="13"/>
  <c r="J125" i="13"/>
  <c r="K125" i="13"/>
  <c r="F126" i="13"/>
  <c r="G126" i="13"/>
  <c r="H126" i="13"/>
  <c r="I126" i="13"/>
  <c r="J126" i="13"/>
  <c r="K126" i="13"/>
  <c r="F127" i="13"/>
  <c r="G127" i="13"/>
  <c r="H127" i="13"/>
  <c r="I127" i="13"/>
  <c r="J127" i="13"/>
  <c r="K127" i="13"/>
  <c r="F128" i="13"/>
  <c r="G128" i="13"/>
  <c r="H128" i="13"/>
  <c r="I128" i="13"/>
  <c r="J128" i="13"/>
  <c r="K128" i="13"/>
  <c r="F129" i="13"/>
  <c r="G129" i="13"/>
  <c r="H129" i="13"/>
  <c r="I129" i="13"/>
  <c r="J129" i="13"/>
  <c r="K129" i="13"/>
  <c r="F130" i="13"/>
  <c r="G130" i="13"/>
  <c r="H130" i="13"/>
  <c r="I130" i="13"/>
  <c r="J130" i="13"/>
  <c r="K130" i="13"/>
  <c r="F131" i="13"/>
  <c r="G131" i="13"/>
  <c r="H131" i="13"/>
  <c r="I131" i="13"/>
  <c r="J131" i="13"/>
  <c r="K131" i="13"/>
  <c r="F132" i="13"/>
  <c r="G132" i="13"/>
  <c r="H132" i="13"/>
  <c r="I132" i="13"/>
  <c r="J132" i="13"/>
  <c r="K132" i="13"/>
  <c r="F133" i="13"/>
  <c r="G133" i="13"/>
  <c r="H133" i="13"/>
  <c r="I133" i="13"/>
  <c r="J133" i="13"/>
  <c r="K133" i="13"/>
  <c r="F134" i="13"/>
  <c r="G134" i="13"/>
  <c r="H134" i="13"/>
  <c r="I134" i="13"/>
  <c r="J134" i="13"/>
  <c r="K134" i="13"/>
  <c r="F135" i="13"/>
  <c r="G135" i="13"/>
  <c r="H135" i="13"/>
  <c r="I135" i="13"/>
  <c r="J135" i="13"/>
  <c r="K135" i="13"/>
  <c r="F136" i="13"/>
  <c r="G136" i="13"/>
  <c r="H136" i="13"/>
  <c r="I136" i="13"/>
  <c r="J136" i="13"/>
  <c r="K136" i="13"/>
  <c r="F137" i="13"/>
  <c r="G137" i="13"/>
  <c r="H137" i="13"/>
  <c r="I137" i="13"/>
  <c r="J137" i="13"/>
  <c r="K137" i="13"/>
  <c r="F138" i="13"/>
  <c r="G138" i="13"/>
  <c r="H138" i="13"/>
  <c r="I138" i="13"/>
  <c r="J138" i="13"/>
  <c r="K138" i="13"/>
  <c r="F139" i="13"/>
  <c r="G139" i="13"/>
  <c r="H139" i="13"/>
  <c r="I139" i="13"/>
  <c r="J139" i="13"/>
  <c r="K139" i="13"/>
  <c r="F140" i="13"/>
  <c r="G140" i="13"/>
  <c r="H140" i="13"/>
  <c r="I140" i="13"/>
  <c r="J140" i="13"/>
  <c r="K140" i="13"/>
  <c r="F141" i="13"/>
  <c r="G141" i="13"/>
  <c r="H141" i="13"/>
  <c r="I141" i="13"/>
  <c r="J141" i="13"/>
  <c r="K141" i="13"/>
  <c r="F142" i="13"/>
  <c r="G142" i="13"/>
  <c r="H142" i="13"/>
  <c r="I142" i="13"/>
  <c r="J142" i="13"/>
  <c r="K142" i="13"/>
  <c r="F143" i="13"/>
  <c r="G143" i="13"/>
  <c r="H143" i="13"/>
  <c r="I143" i="13"/>
  <c r="J143" i="13"/>
  <c r="K143" i="13"/>
  <c r="F144" i="13"/>
  <c r="G144" i="13"/>
  <c r="H144" i="13"/>
  <c r="I144" i="13"/>
  <c r="J144" i="13"/>
  <c r="K144" i="13"/>
  <c r="F145" i="13"/>
  <c r="G145" i="13"/>
  <c r="H145" i="13"/>
  <c r="I145" i="13"/>
  <c r="J145" i="13"/>
  <c r="K145" i="13"/>
  <c r="F146" i="13"/>
  <c r="G146" i="13"/>
  <c r="H146" i="13"/>
  <c r="I146" i="13"/>
  <c r="J146" i="13"/>
  <c r="K146" i="13"/>
  <c r="F147" i="13"/>
  <c r="G147" i="13"/>
  <c r="H147" i="13"/>
  <c r="I147" i="13"/>
  <c r="J147" i="13"/>
  <c r="K147" i="13"/>
  <c r="F148" i="13"/>
  <c r="G148" i="13"/>
  <c r="H148" i="13"/>
  <c r="I148" i="13"/>
  <c r="J148" i="13"/>
  <c r="K148" i="13"/>
  <c r="F149" i="13"/>
  <c r="G149" i="13"/>
  <c r="H149" i="13"/>
  <c r="I149" i="13"/>
  <c r="J149" i="13"/>
  <c r="K149" i="13"/>
  <c r="F150" i="13"/>
  <c r="G150" i="13"/>
  <c r="H150" i="13"/>
  <c r="I150" i="13"/>
  <c r="J150" i="13"/>
  <c r="K150" i="13"/>
  <c r="F151" i="13"/>
  <c r="G151" i="13"/>
  <c r="H151" i="13"/>
  <c r="I151" i="13"/>
  <c r="J151" i="13"/>
  <c r="K151" i="13"/>
  <c r="F152" i="13"/>
  <c r="G152" i="13"/>
  <c r="H152" i="13"/>
  <c r="I152" i="13"/>
  <c r="J152" i="13"/>
  <c r="K152" i="13"/>
  <c r="F153" i="13"/>
  <c r="G153" i="13"/>
  <c r="H153" i="13"/>
  <c r="I153" i="13"/>
  <c r="J153" i="13"/>
  <c r="K153" i="13"/>
  <c r="F154" i="13"/>
  <c r="G154" i="13"/>
  <c r="H154" i="13"/>
  <c r="I154" i="13"/>
  <c r="J154" i="13"/>
  <c r="K154" i="13"/>
  <c r="F155" i="13"/>
  <c r="G155" i="13"/>
  <c r="H155" i="13"/>
  <c r="I155" i="13"/>
  <c r="J155" i="13"/>
  <c r="K155" i="13"/>
  <c r="F156" i="13"/>
  <c r="G156" i="13"/>
  <c r="H156" i="13"/>
  <c r="I156" i="13"/>
  <c r="J156" i="13"/>
  <c r="K156" i="13"/>
  <c r="F157" i="13"/>
  <c r="G157" i="13"/>
  <c r="H157" i="13"/>
  <c r="I157" i="13"/>
  <c r="J157" i="13"/>
  <c r="K157" i="13"/>
  <c r="F158" i="13"/>
  <c r="G158" i="13"/>
  <c r="H158" i="13"/>
  <c r="I158" i="13"/>
  <c r="J158" i="13"/>
  <c r="K158" i="13"/>
  <c r="F159" i="13"/>
  <c r="G159" i="13"/>
  <c r="H159" i="13"/>
  <c r="I159" i="13"/>
  <c r="J159" i="13"/>
  <c r="K159" i="13"/>
  <c r="F160" i="13"/>
  <c r="G160" i="13"/>
  <c r="H160" i="13"/>
  <c r="I160" i="13"/>
  <c r="J160" i="13"/>
  <c r="K160" i="13"/>
  <c r="F161" i="13"/>
  <c r="G161" i="13"/>
  <c r="H161" i="13"/>
  <c r="I161" i="13"/>
  <c r="J161" i="13"/>
  <c r="K161" i="13"/>
  <c r="F162" i="13"/>
  <c r="G162" i="13"/>
  <c r="H162" i="13"/>
  <c r="I162" i="13"/>
  <c r="J162" i="13"/>
  <c r="K162" i="13"/>
  <c r="F163" i="13"/>
  <c r="G163" i="13"/>
  <c r="H163" i="13"/>
  <c r="I163" i="13"/>
  <c r="J163" i="13"/>
  <c r="K163" i="13"/>
  <c r="F164" i="13"/>
  <c r="G164" i="13"/>
  <c r="H164" i="13"/>
  <c r="I164" i="13"/>
  <c r="J164" i="13"/>
  <c r="K164" i="13"/>
  <c r="F165" i="13"/>
  <c r="G165" i="13"/>
  <c r="H165" i="13"/>
  <c r="I165" i="13"/>
  <c r="J165" i="13"/>
  <c r="K165" i="13"/>
  <c r="F166" i="13"/>
  <c r="G166" i="13"/>
  <c r="H166" i="13"/>
  <c r="I166" i="13"/>
  <c r="J166" i="13"/>
  <c r="K166" i="13"/>
  <c r="F167" i="13"/>
  <c r="G167" i="13"/>
  <c r="H167" i="13"/>
  <c r="I167" i="13"/>
  <c r="J167" i="13"/>
  <c r="K167" i="13"/>
  <c r="F168" i="13"/>
  <c r="G168" i="13"/>
  <c r="H168" i="13"/>
  <c r="I168" i="13"/>
  <c r="J168" i="13"/>
  <c r="K168" i="13"/>
  <c r="F169" i="13"/>
  <c r="G169" i="13"/>
  <c r="H169" i="13"/>
  <c r="I169" i="13"/>
  <c r="J169" i="13"/>
  <c r="K169" i="13"/>
  <c r="F170" i="13"/>
  <c r="G170" i="13"/>
  <c r="H170" i="13"/>
  <c r="I170" i="13"/>
  <c r="J170" i="13"/>
  <c r="K170" i="13"/>
  <c r="F171" i="13"/>
  <c r="G171" i="13"/>
  <c r="H171" i="13"/>
  <c r="I171" i="13"/>
  <c r="J171" i="13"/>
  <c r="K171" i="13"/>
  <c r="F172" i="13"/>
  <c r="G172" i="13"/>
  <c r="H172" i="13"/>
  <c r="I172" i="13"/>
  <c r="J172" i="13"/>
  <c r="K172" i="13"/>
  <c r="F173" i="13"/>
  <c r="G173" i="13"/>
  <c r="H173" i="13"/>
  <c r="I173" i="13"/>
  <c r="J173" i="13"/>
  <c r="K173" i="13"/>
  <c r="F174" i="13"/>
  <c r="G174" i="13"/>
  <c r="H174" i="13"/>
  <c r="I174" i="13"/>
  <c r="J174" i="13"/>
  <c r="K174" i="13"/>
  <c r="F175" i="13"/>
  <c r="G175" i="13"/>
  <c r="H175" i="13"/>
  <c r="I175" i="13"/>
  <c r="J175" i="13"/>
  <c r="K175" i="13"/>
  <c r="F176" i="13"/>
  <c r="G176" i="13"/>
  <c r="H176" i="13"/>
  <c r="I176" i="13"/>
  <c r="J176" i="13"/>
  <c r="K176" i="13"/>
  <c r="F177" i="13"/>
  <c r="G177" i="13"/>
  <c r="H177" i="13"/>
  <c r="I177" i="13"/>
  <c r="J177" i="13"/>
  <c r="K177" i="13"/>
  <c r="F178" i="13"/>
  <c r="G178" i="13"/>
  <c r="H178" i="13"/>
  <c r="I178" i="13"/>
  <c r="J178" i="13"/>
  <c r="K178" i="13"/>
  <c r="F179" i="13"/>
  <c r="G179" i="13"/>
  <c r="H179" i="13"/>
  <c r="I179" i="13"/>
  <c r="J179" i="13"/>
  <c r="K179" i="13"/>
  <c r="F180" i="13"/>
  <c r="G180" i="13"/>
  <c r="H180" i="13"/>
  <c r="I180" i="13"/>
  <c r="J180" i="13"/>
  <c r="K180" i="13"/>
  <c r="F181" i="13"/>
  <c r="G181" i="13"/>
  <c r="H181" i="13"/>
  <c r="I181" i="13"/>
  <c r="J181" i="13"/>
  <c r="K181" i="13"/>
  <c r="F182" i="13"/>
  <c r="G182" i="13"/>
  <c r="H182" i="13"/>
  <c r="I182" i="13"/>
  <c r="J182" i="13"/>
  <c r="K182" i="13"/>
  <c r="F183" i="13"/>
  <c r="G183" i="13"/>
  <c r="H183" i="13"/>
  <c r="I183" i="13"/>
  <c r="J183" i="13"/>
  <c r="K183" i="13"/>
  <c r="F184" i="13"/>
  <c r="G184" i="13"/>
  <c r="H184" i="13"/>
  <c r="I184" i="13"/>
  <c r="J184" i="13"/>
  <c r="K184" i="13"/>
  <c r="F185" i="13"/>
  <c r="G185" i="13"/>
  <c r="H185" i="13"/>
  <c r="I185" i="13"/>
  <c r="J185" i="13"/>
  <c r="K185" i="13"/>
  <c r="F186" i="13"/>
  <c r="G186" i="13"/>
  <c r="H186" i="13"/>
  <c r="I186" i="13"/>
  <c r="J186" i="13"/>
  <c r="K186" i="13"/>
  <c r="F187" i="13"/>
  <c r="G187" i="13"/>
  <c r="H187" i="13"/>
  <c r="I187" i="13"/>
  <c r="J187" i="13"/>
  <c r="K187" i="13"/>
  <c r="F188" i="13"/>
  <c r="G188" i="13"/>
  <c r="H188" i="13"/>
  <c r="I188" i="13"/>
  <c r="J188" i="13"/>
  <c r="K188" i="13"/>
  <c r="F189" i="13"/>
  <c r="G189" i="13"/>
  <c r="H189" i="13"/>
  <c r="I189" i="13"/>
  <c r="J189" i="13"/>
  <c r="K189" i="13"/>
  <c r="F190" i="13"/>
  <c r="G190" i="13"/>
  <c r="H190" i="13"/>
  <c r="I190" i="13"/>
  <c r="J190" i="13"/>
  <c r="K190" i="13"/>
  <c r="F191" i="13"/>
  <c r="G191" i="13"/>
  <c r="H191" i="13"/>
  <c r="I191" i="13"/>
  <c r="J191" i="13"/>
  <c r="K191" i="13"/>
  <c r="F192" i="13"/>
  <c r="G192" i="13"/>
  <c r="H192" i="13"/>
  <c r="I192" i="13"/>
  <c r="J192" i="13"/>
  <c r="K192" i="13"/>
  <c r="F193" i="13"/>
  <c r="G193" i="13"/>
  <c r="H193" i="13"/>
  <c r="I193" i="13"/>
  <c r="J193" i="13"/>
  <c r="K193" i="13"/>
  <c r="F194" i="13"/>
  <c r="G194" i="13"/>
  <c r="H194" i="13"/>
  <c r="I194" i="13"/>
  <c r="J194" i="13"/>
  <c r="K194" i="13"/>
  <c r="F195" i="13"/>
  <c r="G195" i="13"/>
  <c r="H195" i="13"/>
  <c r="I195" i="13"/>
  <c r="J195" i="13"/>
  <c r="K195" i="13"/>
  <c r="F196" i="13"/>
  <c r="G196" i="13"/>
  <c r="H196" i="13"/>
  <c r="I196" i="13"/>
  <c r="J196" i="13"/>
  <c r="K196" i="13"/>
  <c r="F197" i="13"/>
  <c r="G197" i="13"/>
  <c r="H197" i="13"/>
  <c r="I197" i="13"/>
  <c r="J197" i="13"/>
  <c r="K197" i="13"/>
  <c r="F198" i="13"/>
  <c r="G198" i="13"/>
  <c r="H198" i="13"/>
  <c r="I198" i="13"/>
  <c r="J198" i="13"/>
  <c r="K198" i="13"/>
  <c r="F199" i="13"/>
  <c r="G199" i="13"/>
  <c r="H199" i="13"/>
  <c r="I199" i="13"/>
  <c r="J199" i="13"/>
  <c r="K199" i="13"/>
  <c r="F200" i="13"/>
  <c r="G200" i="13"/>
  <c r="H200" i="13"/>
  <c r="I200" i="13"/>
  <c r="J200" i="13"/>
  <c r="K200" i="13"/>
  <c r="F201" i="13"/>
  <c r="G201" i="13"/>
  <c r="H201" i="13"/>
  <c r="I201" i="13"/>
  <c r="J201" i="13"/>
  <c r="K201" i="13"/>
  <c r="F202" i="13"/>
  <c r="G202" i="13"/>
  <c r="H202" i="13"/>
  <c r="I202" i="13"/>
  <c r="J202" i="13"/>
  <c r="K202" i="13"/>
  <c r="F203" i="13"/>
  <c r="G203" i="13"/>
  <c r="H203" i="13"/>
  <c r="I203" i="13"/>
  <c r="J203" i="13"/>
  <c r="K203" i="13"/>
  <c r="F204" i="13"/>
  <c r="G204" i="13"/>
  <c r="H204" i="13"/>
  <c r="I204" i="13"/>
  <c r="J204" i="13"/>
  <c r="K204" i="13"/>
  <c r="F205" i="13"/>
  <c r="G205" i="13"/>
  <c r="H205" i="13"/>
  <c r="I205" i="13"/>
  <c r="J205" i="13"/>
  <c r="K205" i="13"/>
  <c r="F206" i="13"/>
  <c r="G206" i="13"/>
  <c r="H206" i="13"/>
  <c r="I206" i="13"/>
  <c r="J206" i="13"/>
  <c r="K206" i="13"/>
  <c r="F207" i="13"/>
  <c r="G207" i="13"/>
  <c r="H207" i="13"/>
  <c r="I207" i="13"/>
  <c r="J207" i="13"/>
  <c r="K207" i="13"/>
  <c r="F208" i="13"/>
  <c r="G208" i="13"/>
  <c r="H208" i="13"/>
  <c r="I208" i="13"/>
  <c r="J208" i="13"/>
  <c r="K208" i="13"/>
  <c r="F209" i="13"/>
  <c r="G209" i="13"/>
  <c r="H209" i="13"/>
  <c r="I209" i="13"/>
  <c r="J209" i="13"/>
  <c r="K209" i="13"/>
  <c r="F210" i="13"/>
  <c r="G210" i="13"/>
  <c r="H210" i="13"/>
  <c r="I210" i="13"/>
  <c r="J210" i="13"/>
  <c r="K210" i="13"/>
  <c r="F211" i="13"/>
  <c r="G211" i="13"/>
  <c r="H211" i="13"/>
  <c r="I211" i="13"/>
  <c r="J211" i="13"/>
  <c r="K211" i="13"/>
  <c r="F212" i="13"/>
  <c r="G212" i="13"/>
  <c r="H212" i="13"/>
  <c r="I212" i="13"/>
  <c r="J212" i="13"/>
  <c r="K212" i="13"/>
  <c r="F213" i="13"/>
  <c r="G213" i="13"/>
  <c r="H213" i="13"/>
  <c r="I213" i="13"/>
  <c r="J213" i="13"/>
  <c r="K213" i="13"/>
  <c r="F214" i="13"/>
  <c r="G214" i="13"/>
  <c r="H214" i="13"/>
  <c r="I214" i="13"/>
  <c r="J214" i="13"/>
  <c r="K214" i="13"/>
  <c r="F215" i="13"/>
  <c r="G215" i="13"/>
  <c r="H215" i="13"/>
  <c r="I215" i="13"/>
  <c r="J215" i="13"/>
  <c r="K215" i="13"/>
  <c r="F216" i="13"/>
  <c r="G216" i="13"/>
  <c r="H216" i="13"/>
  <c r="I216" i="13"/>
  <c r="J216" i="13"/>
  <c r="K216" i="13"/>
  <c r="F217" i="13"/>
  <c r="G217" i="13"/>
  <c r="H217" i="13"/>
  <c r="I217" i="13"/>
  <c r="J217" i="13"/>
  <c r="K217" i="13"/>
  <c r="F218" i="13"/>
  <c r="G218" i="13"/>
  <c r="H218" i="13"/>
  <c r="I218" i="13"/>
  <c r="J218" i="13"/>
  <c r="K218" i="13"/>
  <c r="F219" i="13"/>
  <c r="G219" i="13"/>
  <c r="H219" i="13"/>
  <c r="I219" i="13"/>
  <c r="J219" i="13"/>
  <c r="K219" i="13"/>
  <c r="F220" i="13"/>
  <c r="G220" i="13"/>
  <c r="H220" i="13"/>
  <c r="I220" i="13"/>
  <c r="J220" i="13"/>
  <c r="K220" i="13"/>
  <c r="F221" i="13"/>
  <c r="G221" i="13"/>
  <c r="H221" i="13"/>
  <c r="I221" i="13"/>
  <c r="J221" i="13"/>
  <c r="K221" i="13"/>
  <c r="F222" i="13"/>
  <c r="G222" i="13"/>
  <c r="H222" i="13"/>
  <c r="I222" i="13"/>
  <c r="J222" i="13"/>
  <c r="K222" i="13"/>
  <c r="F223" i="13"/>
  <c r="G223" i="13"/>
  <c r="H223" i="13"/>
  <c r="I223" i="13"/>
  <c r="J223" i="13"/>
  <c r="K223" i="13"/>
  <c r="F224" i="13"/>
  <c r="G224" i="13"/>
  <c r="H224" i="13"/>
  <c r="I224" i="13"/>
  <c r="J224" i="13"/>
  <c r="K224" i="13"/>
  <c r="F225" i="13"/>
  <c r="G225" i="13"/>
  <c r="H225" i="13"/>
  <c r="I225" i="13"/>
  <c r="J225" i="13"/>
  <c r="K225" i="13"/>
  <c r="F226" i="13"/>
  <c r="G226" i="13"/>
  <c r="H226" i="13"/>
  <c r="I226" i="13"/>
  <c r="J226" i="13"/>
  <c r="K226" i="13"/>
  <c r="F227" i="13"/>
  <c r="G227" i="13"/>
  <c r="H227" i="13"/>
  <c r="I227" i="13"/>
  <c r="J227" i="13"/>
  <c r="K227" i="13"/>
  <c r="F228" i="13"/>
  <c r="G228" i="13"/>
  <c r="H228" i="13"/>
  <c r="I228" i="13"/>
  <c r="J228" i="13"/>
  <c r="K228" i="13"/>
  <c r="F229" i="13"/>
  <c r="G229" i="13"/>
  <c r="H229" i="13"/>
  <c r="I229" i="13"/>
  <c r="J229" i="13"/>
  <c r="K229" i="13"/>
  <c r="F230" i="13"/>
  <c r="G230" i="13"/>
  <c r="H230" i="13"/>
  <c r="I230" i="13"/>
  <c r="J230" i="13"/>
  <c r="K230" i="13"/>
  <c r="F231" i="13"/>
  <c r="G231" i="13"/>
  <c r="H231" i="13"/>
  <c r="I231" i="13"/>
  <c r="J231" i="13"/>
  <c r="K231" i="13"/>
  <c r="F232" i="13"/>
  <c r="G232" i="13"/>
  <c r="H232" i="13"/>
  <c r="I232" i="13"/>
  <c r="J232" i="13"/>
  <c r="K232" i="13"/>
  <c r="F233" i="13"/>
  <c r="G233" i="13"/>
  <c r="H233" i="13"/>
  <c r="I233" i="13"/>
  <c r="J233" i="13"/>
  <c r="K233" i="13"/>
  <c r="F234" i="13"/>
  <c r="G234" i="13"/>
  <c r="H234" i="13"/>
  <c r="I234" i="13"/>
  <c r="J234" i="13"/>
  <c r="K234" i="13"/>
  <c r="F235" i="13"/>
  <c r="G235" i="13"/>
  <c r="H235" i="13"/>
  <c r="I235" i="13"/>
  <c r="J235" i="13"/>
  <c r="K235" i="13"/>
  <c r="F236" i="13"/>
  <c r="G236" i="13"/>
  <c r="H236" i="13"/>
  <c r="I236" i="13"/>
  <c r="J236" i="13"/>
  <c r="K236" i="13"/>
  <c r="F237" i="13"/>
  <c r="G237" i="13"/>
  <c r="H237" i="13"/>
  <c r="I237" i="13"/>
  <c r="J237" i="13"/>
  <c r="K237" i="13"/>
  <c r="F238" i="13"/>
  <c r="G238" i="13"/>
  <c r="H238" i="13"/>
  <c r="I238" i="13"/>
  <c r="J238" i="13"/>
  <c r="K238" i="13"/>
  <c r="F239" i="13"/>
  <c r="G239" i="13"/>
  <c r="H239" i="13"/>
  <c r="I239" i="13"/>
  <c r="J239" i="13"/>
  <c r="K239" i="13"/>
  <c r="F240" i="13"/>
  <c r="G240" i="13"/>
  <c r="H240" i="13"/>
  <c r="I240" i="13"/>
  <c r="J240" i="13"/>
  <c r="K240" i="13"/>
  <c r="F241" i="13"/>
  <c r="G241" i="13"/>
  <c r="H241" i="13"/>
  <c r="I241" i="13"/>
  <c r="J241" i="13"/>
  <c r="K241" i="13"/>
  <c r="F242" i="13"/>
  <c r="G242" i="13"/>
  <c r="H242" i="13"/>
  <c r="I242" i="13"/>
  <c r="J242" i="13"/>
  <c r="K242" i="13"/>
  <c r="F243" i="13"/>
  <c r="G243" i="13"/>
  <c r="H243" i="13"/>
  <c r="I243" i="13"/>
  <c r="J243" i="13"/>
  <c r="K243" i="13"/>
  <c r="F244" i="13"/>
  <c r="G244" i="13"/>
  <c r="H244" i="13"/>
  <c r="I244" i="13"/>
  <c r="J244" i="13"/>
  <c r="K244" i="13"/>
  <c r="F245" i="13"/>
  <c r="G245" i="13"/>
  <c r="H245" i="13"/>
  <c r="I245" i="13"/>
  <c r="J245" i="13"/>
  <c r="K245" i="13"/>
  <c r="F246" i="13"/>
  <c r="G246" i="13"/>
  <c r="H246" i="13"/>
  <c r="I246" i="13"/>
  <c r="J246" i="13"/>
  <c r="K246" i="13"/>
  <c r="F247" i="13"/>
  <c r="G247" i="13"/>
  <c r="H247" i="13"/>
  <c r="I247" i="13"/>
  <c r="J247" i="13"/>
  <c r="K247" i="13"/>
  <c r="F248" i="13"/>
  <c r="G248" i="13"/>
  <c r="H248" i="13"/>
  <c r="I248" i="13"/>
  <c r="J248" i="13"/>
  <c r="K248" i="13"/>
  <c r="F249" i="13"/>
  <c r="G249" i="13"/>
  <c r="H249" i="13"/>
  <c r="I249" i="13"/>
  <c r="J249" i="13"/>
  <c r="K249" i="13"/>
  <c r="F250" i="13"/>
  <c r="G250" i="13"/>
  <c r="H250" i="13"/>
  <c r="I250" i="13"/>
  <c r="J250" i="13"/>
  <c r="K250" i="13"/>
  <c r="F251" i="13"/>
  <c r="G251" i="13"/>
  <c r="H251" i="13"/>
  <c r="I251" i="13"/>
  <c r="J251" i="13"/>
  <c r="K251" i="13"/>
  <c r="F252" i="13"/>
  <c r="G252" i="13"/>
  <c r="H252" i="13"/>
  <c r="I252" i="13"/>
  <c r="J252" i="13"/>
  <c r="K252" i="13"/>
  <c r="F253" i="13"/>
  <c r="G253" i="13"/>
  <c r="H253" i="13"/>
  <c r="I253" i="13"/>
  <c r="J253" i="13"/>
  <c r="K253" i="13"/>
  <c r="F254" i="13"/>
  <c r="G254" i="13"/>
  <c r="H254" i="13"/>
  <c r="I254" i="13"/>
  <c r="J254" i="13"/>
  <c r="K254" i="13"/>
  <c r="F255" i="13"/>
  <c r="G255" i="13"/>
  <c r="H255" i="13"/>
  <c r="I255" i="13"/>
  <c r="J255" i="13"/>
  <c r="K255" i="13"/>
  <c r="F256" i="13"/>
  <c r="G256" i="13"/>
  <c r="H256" i="13"/>
  <c r="I256" i="13"/>
  <c r="J256" i="13"/>
  <c r="K256" i="13"/>
  <c r="F257" i="13"/>
  <c r="G257" i="13"/>
  <c r="H257" i="13"/>
  <c r="I257" i="13"/>
  <c r="J257" i="13"/>
  <c r="K257" i="13"/>
  <c r="F258" i="13"/>
  <c r="G258" i="13"/>
  <c r="H258" i="13"/>
  <c r="I258" i="13"/>
  <c r="J258" i="13"/>
  <c r="K258" i="13"/>
  <c r="F259" i="13"/>
  <c r="G259" i="13"/>
  <c r="H259" i="13"/>
  <c r="I259" i="13"/>
  <c r="J259" i="13"/>
  <c r="K259" i="13"/>
  <c r="F260" i="13"/>
  <c r="G260" i="13"/>
  <c r="H260" i="13"/>
  <c r="I260" i="13"/>
  <c r="J260" i="13"/>
  <c r="K260" i="13"/>
  <c r="F261" i="13"/>
  <c r="G261" i="13"/>
  <c r="H261" i="13"/>
  <c r="I261" i="13"/>
  <c r="J261" i="13"/>
  <c r="K261" i="13"/>
  <c r="F262" i="13"/>
  <c r="G262" i="13"/>
  <c r="H262" i="13"/>
  <c r="I262" i="13"/>
  <c r="J262" i="13"/>
  <c r="K262" i="13"/>
  <c r="F263" i="13"/>
  <c r="G263" i="13"/>
  <c r="H263" i="13"/>
  <c r="I263" i="13"/>
  <c r="J263" i="13"/>
  <c r="K263" i="13"/>
  <c r="F264" i="13"/>
  <c r="G264" i="13"/>
  <c r="H264" i="13"/>
  <c r="I264" i="13"/>
  <c r="J264" i="13"/>
  <c r="K264" i="13"/>
  <c r="F265" i="13"/>
  <c r="G265" i="13"/>
  <c r="H265" i="13"/>
  <c r="I265" i="13"/>
  <c r="J265" i="13"/>
  <c r="K265" i="13"/>
  <c r="F266" i="13"/>
  <c r="G266" i="13"/>
  <c r="H266" i="13"/>
  <c r="I266" i="13"/>
  <c r="J266" i="13"/>
  <c r="K266" i="13"/>
  <c r="F267" i="13"/>
  <c r="G267" i="13"/>
  <c r="H267" i="13"/>
  <c r="I267" i="13"/>
  <c r="J267" i="13"/>
  <c r="K267" i="13"/>
  <c r="F268" i="13"/>
  <c r="G268" i="13"/>
  <c r="H268" i="13"/>
  <c r="I268" i="13"/>
  <c r="J268" i="13"/>
  <c r="K268" i="13"/>
  <c r="F269" i="13"/>
  <c r="G269" i="13"/>
  <c r="H269" i="13"/>
  <c r="I269" i="13"/>
  <c r="J269" i="13"/>
  <c r="K269" i="13"/>
  <c r="F270" i="13"/>
  <c r="G270" i="13"/>
  <c r="H270" i="13"/>
  <c r="I270" i="13"/>
  <c r="J270" i="13"/>
  <c r="K270" i="13"/>
  <c r="F271" i="13"/>
  <c r="G271" i="13"/>
  <c r="H271" i="13"/>
  <c r="I271" i="13"/>
  <c r="J271" i="13"/>
  <c r="K271" i="13"/>
  <c r="F272" i="13"/>
  <c r="G272" i="13"/>
  <c r="H272" i="13"/>
  <c r="I272" i="13"/>
  <c r="J272" i="13"/>
  <c r="K272" i="13"/>
  <c r="F273" i="13"/>
  <c r="G273" i="13"/>
  <c r="H273" i="13"/>
  <c r="I273" i="13"/>
  <c r="J273" i="13"/>
  <c r="K273" i="13"/>
  <c r="F274" i="13"/>
  <c r="G274" i="13"/>
  <c r="H274" i="13"/>
  <c r="I274" i="13"/>
  <c r="J274" i="13"/>
  <c r="K274" i="13"/>
  <c r="F275" i="13"/>
  <c r="G275" i="13"/>
  <c r="H275" i="13"/>
  <c r="I275" i="13"/>
  <c r="J275" i="13"/>
  <c r="K275" i="13"/>
  <c r="F276" i="13"/>
  <c r="G276" i="13"/>
  <c r="H276" i="13"/>
  <c r="I276" i="13"/>
  <c r="J276" i="13"/>
  <c r="K276" i="13"/>
  <c r="F277" i="13"/>
  <c r="G277" i="13"/>
  <c r="H277" i="13"/>
  <c r="I277" i="13"/>
  <c r="J277" i="13"/>
  <c r="K277" i="13"/>
  <c r="F278" i="13"/>
  <c r="G278" i="13"/>
  <c r="H278" i="13"/>
  <c r="I278" i="13"/>
  <c r="J278" i="13"/>
  <c r="K278" i="13"/>
  <c r="F279" i="13"/>
  <c r="G279" i="13"/>
  <c r="H279" i="13"/>
  <c r="I279" i="13"/>
  <c r="J279" i="13"/>
  <c r="K279" i="13"/>
  <c r="F280" i="13"/>
  <c r="G280" i="13"/>
  <c r="H280" i="13"/>
  <c r="I280" i="13"/>
  <c r="J280" i="13"/>
  <c r="K280" i="13"/>
  <c r="F281" i="13"/>
  <c r="G281" i="13"/>
  <c r="H281" i="13"/>
  <c r="I281" i="13"/>
  <c r="J281" i="13"/>
  <c r="K281" i="13"/>
  <c r="F282" i="13"/>
  <c r="G282" i="13"/>
  <c r="H282" i="13"/>
  <c r="I282" i="13"/>
  <c r="J282" i="13"/>
  <c r="K282" i="13"/>
  <c r="F283" i="13"/>
  <c r="G283" i="13"/>
  <c r="H283" i="13"/>
  <c r="I283" i="13"/>
  <c r="J283" i="13"/>
  <c r="K283" i="13"/>
  <c r="F284" i="13"/>
  <c r="G284" i="13"/>
  <c r="H284" i="13"/>
  <c r="I284" i="13"/>
  <c r="J284" i="13"/>
  <c r="K284" i="13"/>
  <c r="F285" i="13"/>
  <c r="G285" i="13"/>
  <c r="H285" i="13"/>
  <c r="I285" i="13"/>
  <c r="J285" i="13"/>
  <c r="K285" i="13"/>
  <c r="F286" i="13"/>
  <c r="G286" i="13"/>
  <c r="H286" i="13"/>
  <c r="I286" i="13"/>
  <c r="J286" i="13"/>
  <c r="K286" i="13"/>
  <c r="F287" i="13"/>
  <c r="G287" i="13"/>
  <c r="H287" i="13"/>
  <c r="I287" i="13"/>
  <c r="J287" i="13"/>
  <c r="K287" i="13"/>
  <c r="F288" i="13"/>
  <c r="G288" i="13"/>
  <c r="H288" i="13"/>
  <c r="I288" i="13"/>
  <c r="J288" i="13"/>
  <c r="K288" i="13"/>
  <c r="F289" i="13"/>
  <c r="G289" i="13"/>
  <c r="H289" i="13"/>
  <c r="I289" i="13"/>
  <c r="J289" i="13"/>
  <c r="K289" i="13"/>
  <c r="F290" i="13"/>
  <c r="G290" i="13"/>
  <c r="H290" i="13"/>
  <c r="I290" i="13"/>
  <c r="J290" i="13"/>
  <c r="K290" i="13"/>
  <c r="F291" i="13"/>
  <c r="G291" i="13"/>
  <c r="H291" i="13"/>
  <c r="I291" i="13"/>
  <c r="J291" i="13"/>
  <c r="K291" i="13"/>
  <c r="F292" i="13"/>
  <c r="G292" i="13"/>
  <c r="H292" i="13"/>
  <c r="I292" i="13"/>
  <c r="J292" i="13"/>
  <c r="K292" i="13"/>
  <c r="F293" i="13"/>
  <c r="G293" i="13"/>
  <c r="H293" i="13"/>
  <c r="I293" i="13"/>
  <c r="J293" i="13"/>
  <c r="K293" i="13"/>
  <c r="F294" i="13"/>
  <c r="G294" i="13"/>
  <c r="H294" i="13"/>
  <c r="I294" i="13"/>
  <c r="J294" i="13"/>
  <c r="K294" i="13"/>
  <c r="F295" i="13"/>
  <c r="G295" i="13"/>
  <c r="H295" i="13"/>
  <c r="I295" i="13"/>
  <c r="J295" i="13"/>
  <c r="K295" i="13"/>
  <c r="F296" i="13"/>
  <c r="G296" i="13"/>
  <c r="H296" i="13"/>
  <c r="I296" i="13"/>
  <c r="J296" i="13"/>
  <c r="K296" i="13"/>
  <c r="F297" i="13"/>
  <c r="G297" i="13"/>
  <c r="H297" i="13"/>
  <c r="I297" i="13"/>
  <c r="J297" i="13"/>
  <c r="K297" i="13"/>
  <c r="F298" i="13"/>
  <c r="G298" i="13"/>
  <c r="H298" i="13"/>
  <c r="I298" i="13"/>
  <c r="J298" i="13"/>
  <c r="K298" i="13"/>
  <c r="F299" i="13"/>
  <c r="G299" i="13"/>
  <c r="H299" i="13"/>
  <c r="I299" i="13"/>
  <c r="J299" i="13"/>
  <c r="K299" i="13"/>
  <c r="F300" i="13"/>
  <c r="G300" i="13"/>
  <c r="H300" i="13"/>
  <c r="I300" i="13"/>
  <c r="J300" i="13"/>
  <c r="K300" i="13"/>
  <c r="F301" i="13"/>
  <c r="G301" i="13"/>
  <c r="H301" i="13"/>
  <c r="I301" i="13"/>
  <c r="J301" i="13"/>
  <c r="K301" i="13"/>
  <c r="F302" i="13"/>
  <c r="G302" i="13"/>
  <c r="H302" i="13"/>
  <c r="I302" i="13"/>
  <c r="J302" i="13"/>
  <c r="K302" i="13"/>
  <c r="F303" i="13"/>
  <c r="G303" i="13"/>
  <c r="H303" i="13"/>
  <c r="I303" i="13"/>
  <c r="J303" i="13"/>
  <c r="K303" i="13"/>
  <c r="F304" i="13"/>
  <c r="G304" i="13"/>
  <c r="H304" i="13"/>
  <c r="I304" i="13"/>
  <c r="J304" i="13"/>
  <c r="K304" i="13"/>
  <c r="F305" i="13"/>
  <c r="G305" i="13"/>
  <c r="H305" i="13"/>
  <c r="I305" i="13"/>
  <c r="J305" i="13"/>
  <c r="K305" i="13"/>
  <c r="F306" i="13"/>
  <c r="G306" i="13"/>
  <c r="H306" i="13"/>
  <c r="I306" i="13"/>
  <c r="J306" i="13"/>
  <c r="K306" i="13"/>
  <c r="F307" i="13"/>
  <c r="G307" i="13"/>
  <c r="H307" i="13"/>
  <c r="I307" i="13"/>
  <c r="J307" i="13"/>
  <c r="K307" i="13"/>
  <c r="F308" i="13"/>
  <c r="G308" i="13"/>
  <c r="H308" i="13"/>
  <c r="I308" i="13"/>
  <c r="J308" i="13"/>
  <c r="K308" i="13"/>
  <c r="F309" i="13"/>
  <c r="G309" i="13"/>
  <c r="H309" i="13"/>
  <c r="I309" i="13"/>
  <c r="J309" i="13"/>
  <c r="K309" i="13"/>
  <c r="F310" i="13"/>
  <c r="G310" i="13"/>
  <c r="H310" i="13"/>
  <c r="I310" i="13"/>
  <c r="J310" i="13"/>
  <c r="K310" i="13"/>
  <c r="F311" i="13"/>
  <c r="G311" i="13"/>
  <c r="H311" i="13"/>
  <c r="I311" i="13"/>
  <c r="J311" i="13"/>
  <c r="K311" i="13"/>
  <c r="F312" i="13"/>
  <c r="G312" i="13"/>
  <c r="H312" i="13"/>
  <c r="I312" i="13"/>
  <c r="J312" i="13"/>
  <c r="K312" i="13"/>
  <c r="F313" i="13"/>
  <c r="G313" i="13"/>
  <c r="H313" i="13"/>
  <c r="I313" i="13"/>
  <c r="J313" i="13"/>
  <c r="K313" i="13"/>
  <c r="F314" i="13"/>
  <c r="G314" i="13"/>
  <c r="H314" i="13"/>
  <c r="I314" i="13"/>
  <c r="J314" i="13"/>
  <c r="K314" i="13"/>
  <c r="F315" i="13"/>
  <c r="G315" i="13"/>
  <c r="H315" i="13"/>
  <c r="I315" i="13"/>
  <c r="J315" i="13"/>
  <c r="K315" i="13"/>
  <c r="F316" i="13"/>
  <c r="G316" i="13"/>
  <c r="H316" i="13"/>
  <c r="I316" i="13"/>
  <c r="J316" i="13"/>
  <c r="K316" i="13"/>
  <c r="F317" i="13"/>
  <c r="G317" i="13"/>
  <c r="H317" i="13"/>
  <c r="I317" i="13"/>
  <c r="J317" i="13"/>
  <c r="K317" i="13"/>
  <c r="F318" i="13"/>
  <c r="G318" i="13"/>
  <c r="H318" i="13"/>
  <c r="I318" i="13"/>
  <c r="J318" i="13"/>
  <c r="K318" i="13"/>
  <c r="F319" i="13"/>
  <c r="G319" i="13"/>
  <c r="H319" i="13"/>
  <c r="I319" i="13"/>
  <c r="J319" i="13"/>
  <c r="K319" i="13"/>
  <c r="F320" i="13"/>
  <c r="G320" i="13"/>
  <c r="H320" i="13"/>
  <c r="I320" i="13"/>
  <c r="J320" i="13"/>
  <c r="K320" i="13"/>
  <c r="F321" i="13"/>
  <c r="G321" i="13"/>
  <c r="H321" i="13"/>
  <c r="I321" i="13"/>
  <c r="J321" i="13"/>
  <c r="K321" i="13"/>
  <c r="F322" i="13"/>
  <c r="G322" i="13"/>
  <c r="H322" i="13"/>
  <c r="I322" i="13"/>
  <c r="J322" i="13"/>
  <c r="K322" i="13"/>
  <c r="F323" i="13"/>
  <c r="G323" i="13"/>
  <c r="H323" i="13"/>
  <c r="I323" i="13"/>
  <c r="J323" i="13"/>
  <c r="K323" i="13"/>
  <c r="F324" i="13"/>
  <c r="G324" i="13"/>
  <c r="H324" i="13"/>
  <c r="I324" i="13"/>
  <c r="J324" i="13"/>
  <c r="K324" i="13"/>
  <c r="F325" i="13"/>
  <c r="G325" i="13"/>
  <c r="H325" i="13"/>
  <c r="I325" i="13"/>
  <c r="J325" i="13"/>
  <c r="K325" i="13"/>
  <c r="F326" i="13"/>
  <c r="G326" i="13"/>
  <c r="H326" i="13"/>
  <c r="I326" i="13"/>
  <c r="J326" i="13"/>
  <c r="K326" i="13"/>
  <c r="F327" i="13"/>
  <c r="G327" i="13"/>
  <c r="H327" i="13"/>
  <c r="I327" i="13"/>
  <c r="J327" i="13"/>
  <c r="K327" i="13"/>
  <c r="F328" i="13"/>
  <c r="G328" i="13"/>
  <c r="H328" i="13"/>
  <c r="I328" i="13"/>
  <c r="J328" i="13"/>
  <c r="K328" i="13"/>
  <c r="F329" i="13"/>
  <c r="G329" i="13"/>
  <c r="H329" i="13"/>
  <c r="I329" i="13"/>
  <c r="J329" i="13"/>
  <c r="K329" i="13"/>
  <c r="F330" i="13"/>
  <c r="G330" i="13"/>
  <c r="H330" i="13"/>
  <c r="I330" i="13"/>
  <c r="J330" i="13"/>
  <c r="K330" i="13"/>
  <c r="F331" i="13"/>
  <c r="G331" i="13"/>
  <c r="H331" i="13"/>
  <c r="I331" i="13"/>
  <c r="J331" i="13"/>
  <c r="K331" i="13"/>
  <c r="F332" i="13"/>
  <c r="G332" i="13"/>
  <c r="H332" i="13"/>
  <c r="I332" i="13"/>
  <c r="J332" i="13"/>
  <c r="K332" i="13"/>
  <c r="F333" i="13"/>
  <c r="G333" i="13"/>
  <c r="H333" i="13"/>
  <c r="I333" i="13"/>
  <c r="J333" i="13"/>
  <c r="K333" i="13"/>
  <c r="F334" i="13"/>
  <c r="G334" i="13"/>
  <c r="H334" i="13"/>
  <c r="I334" i="13"/>
  <c r="J334" i="13"/>
  <c r="K334" i="13"/>
  <c r="F335" i="13"/>
  <c r="G335" i="13"/>
  <c r="H335" i="13"/>
  <c r="I335" i="13"/>
  <c r="J335" i="13"/>
  <c r="K335" i="13"/>
  <c r="F336" i="13"/>
  <c r="G336" i="13"/>
  <c r="H336" i="13"/>
  <c r="I336" i="13"/>
  <c r="J336" i="13"/>
  <c r="K336" i="13"/>
  <c r="F337" i="13"/>
  <c r="G337" i="13"/>
  <c r="H337" i="13"/>
  <c r="I337" i="13"/>
  <c r="J337" i="13"/>
  <c r="K337" i="13"/>
  <c r="F338" i="13"/>
  <c r="G338" i="13"/>
  <c r="H338" i="13"/>
  <c r="I338" i="13"/>
  <c r="J338" i="13"/>
  <c r="K338" i="13"/>
  <c r="F339" i="13"/>
  <c r="G339" i="13"/>
  <c r="H339" i="13"/>
  <c r="I339" i="13"/>
  <c r="J339" i="13"/>
  <c r="K339" i="13"/>
  <c r="F340" i="13"/>
  <c r="G340" i="13"/>
  <c r="H340" i="13"/>
  <c r="I340" i="13"/>
  <c r="J340" i="13"/>
  <c r="K340" i="13"/>
  <c r="F341" i="13"/>
  <c r="G341" i="13"/>
  <c r="H341" i="13"/>
  <c r="I341" i="13"/>
  <c r="J341" i="13"/>
  <c r="K341" i="13"/>
  <c r="F342" i="13"/>
  <c r="G342" i="13"/>
  <c r="H342" i="13"/>
  <c r="I342" i="13"/>
  <c r="J342" i="13"/>
  <c r="K342" i="13"/>
  <c r="F343" i="13"/>
  <c r="G343" i="13"/>
  <c r="H343" i="13"/>
  <c r="I343" i="13"/>
  <c r="J343" i="13"/>
  <c r="K343" i="13"/>
  <c r="F344" i="13"/>
  <c r="G344" i="13"/>
  <c r="H344" i="13"/>
  <c r="I344" i="13"/>
  <c r="J344" i="13"/>
  <c r="K344" i="13"/>
  <c r="F345" i="13"/>
  <c r="G345" i="13"/>
  <c r="H345" i="13"/>
  <c r="I345" i="13"/>
  <c r="J345" i="13"/>
  <c r="K345" i="13"/>
  <c r="F346" i="13"/>
  <c r="G346" i="13"/>
  <c r="H346" i="13"/>
  <c r="I346" i="13"/>
  <c r="J346" i="13"/>
  <c r="K346" i="13"/>
  <c r="F347" i="13"/>
  <c r="G347" i="13"/>
  <c r="H347" i="13"/>
  <c r="I347" i="13"/>
  <c r="J347" i="13"/>
  <c r="K347" i="13"/>
  <c r="F348" i="13"/>
  <c r="G348" i="13"/>
  <c r="H348" i="13"/>
  <c r="I348" i="13"/>
  <c r="J348" i="13"/>
  <c r="K348" i="13"/>
  <c r="F349" i="13"/>
  <c r="G349" i="13"/>
  <c r="H349" i="13"/>
  <c r="I349" i="13"/>
  <c r="J349" i="13"/>
  <c r="K349" i="13"/>
  <c r="F350" i="13"/>
  <c r="G350" i="13"/>
  <c r="H350" i="13"/>
  <c r="I350" i="13"/>
  <c r="J350" i="13"/>
  <c r="K350" i="13"/>
  <c r="F351" i="13"/>
  <c r="G351" i="13"/>
  <c r="H351" i="13"/>
  <c r="I351" i="13"/>
  <c r="J351" i="13"/>
  <c r="K351" i="13"/>
  <c r="F352" i="13"/>
  <c r="G352" i="13"/>
  <c r="H352" i="13"/>
  <c r="I352" i="13"/>
  <c r="J352" i="13"/>
  <c r="K352" i="13"/>
  <c r="F353" i="13"/>
  <c r="G353" i="13"/>
  <c r="H353" i="13"/>
  <c r="I353" i="13"/>
  <c r="J353" i="13"/>
  <c r="K353" i="13"/>
  <c r="F354" i="13"/>
  <c r="G354" i="13"/>
  <c r="H354" i="13"/>
  <c r="I354" i="13"/>
  <c r="J354" i="13"/>
  <c r="K354" i="13"/>
  <c r="F355" i="13"/>
  <c r="G355" i="13"/>
  <c r="H355" i="13"/>
  <c r="I355" i="13"/>
  <c r="J355" i="13"/>
  <c r="K355" i="13"/>
  <c r="F356" i="13"/>
  <c r="G356" i="13"/>
  <c r="H356" i="13"/>
  <c r="I356" i="13"/>
  <c r="J356" i="13"/>
  <c r="K356" i="13"/>
  <c r="F357" i="13"/>
  <c r="G357" i="13"/>
  <c r="H357" i="13"/>
  <c r="I357" i="13"/>
  <c r="J357" i="13"/>
  <c r="K357" i="13"/>
  <c r="F358" i="13"/>
  <c r="G358" i="13"/>
  <c r="H358" i="13"/>
  <c r="I358" i="13"/>
  <c r="J358" i="13"/>
  <c r="K358" i="13"/>
  <c r="F359" i="13"/>
  <c r="G359" i="13"/>
  <c r="H359" i="13"/>
  <c r="I359" i="13"/>
  <c r="J359" i="13"/>
  <c r="K359" i="13"/>
  <c r="F360" i="13"/>
  <c r="G360" i="13"/>
  <c r="H360" i="13"/>
  <c r="I360" i="13"/>
  <c r="J360" i="13"/>
  <c r="K360" i="13"/>
  <c r="F361" i="13"/>
  <c r="G361" i="13"/>
  <c r="H361" i="13"/>
  <c r="I361" i="13"/>
  <c r="J361" i="13"/>
  <c r="K361" i="13"/>
  <c r="F362" i="13"/>
  <c r="G362" i="13"/>
  <c r="H362" i="13"/>
  <c r="I362" i="13"/>
  <c r="J362" i="13"/>
  <c r="K362" i="13"/>
  <c r="F363" i="13"/>
  <c r="G363" i="13"/>
  <c r="H363" i="13"/>
  <c r="I363" i="13"/>
  <c r="J363" i="13"/>
  <c r="K363" i="13"/>
  <c r="F364" i="13"/>
  <c r="G364" i="13"/>
  <c r="H364" i="13"/>
  <c r="I364" i="13"/>
  <c r="J364" i="13"/>
  <c r="K364" i="13"/>
  <c r="F365" i="13"/>
  <c r="G365" i="13"/>
  <c r="H365" i="13"/>
  <c r="I365" i="13"/>
  <c r="J365" i="13"/>
  <c r="K365" i="13"/>
  <c r="F366" i="13"/>
  <c r="G366" i="13"/>
  <c r="H366" i="13"/>
  <c r="I366" i="13"/>
  <c r="J366" i="13"/>
  <c r="K366" i="13"/>
  <c r="F367" i="13"/>
  <c r="G367" i="13"/>
  <c r="H367" i="13"/>
  <c r="I367" i="13"/>
  <c r="J367" i="13"/>
  <c r="K367" i="13"/>
  <c r="F368" i="13"/>
  <c r="G368" i="13"/>
  <c r="H368" i="13"/>
  <c r="I368" i="13"/>
  <c r="J368" i="13"/>
  <c r="K368" i="13"/>
  <c r="F369" i="13"/>
  <c r="G369" i="13"/>
  <c r="H369" i="13"/>
  <c r="I369" i="13"/>
  <c r="J369" i="13"/>
  <c r="K369" i="13"/>
  <c r="F370" i="13"/>
  <c r="G370" i="13"/>
  <c r="H370" i="13"/>
  <c r="I370" i="13"/>
  <c r="J370" i="13"/>
  <c r="K370" i="13"/>
  <c r="F371" i="13"/>
  <c r="G371" i="13"/>
  <c r="H371" i="13"/>
  <c r="I371" i="13"/>
  <c r="J371" i="13"/>
  <c r="K371" i="13"/>
  <c r="F372" i="13"/>
  <c r="G372" i="13"/>
  <c r="H372" i="13"/>
  <c r="I372" i="13"/>
  <c r="J372" i="13"/>
  <c r="K372" i="13"/>
  <c r="F373" i="13"/>
  <c r="G373" i="13"/>
  <c r="H373" i="13"/>
  <c r="I373" i="13"/>
  <c r="J373" i="13"/>
  <c r="K373" i="13"/>
  <c r="F374" i="13"/>
  <c r="G374" i="13"/>
  <c r="H374" i="13"/>
  <c r="I374" i="13"/>
  <c r="J374" i="13"/>
  <c r="K374" i="13"/>
  <c r="F375" i="13"/>
  <c r="G375" i="13"/>
  <c r="H375" i="13"/>
  <c r="I375" i="13"/>
  <c r="J375" i="13"/>
  <c r="K375" i="13"/>
  <c r="F376" i="13"/>
  <c r="G376" i="13"/>
  <c r="H376" i="13"/>
  <c r="I376" i="13"/>
  <c r="J376" i="13"/>
  <c r="K376" i="13"/>
  <c r="F377" i="13"/>
  <c r="G377" i="13"/>
  <c r="H377" i="13"/>
  <c r="I377" i="13"/>
  <c r="J377" i="13"/>
  <c r="K377" i="13"/>
  <c r="F378" i="13"/>
  <c r="G378" i="13"/>
  <c r="H378" i="13"/>
  <c r="I378" i="13"/>
  <c r="J378" i="13"/>
  <c r="K378" i="13"/>
  <c r="F379" i="13"/>
  <c r="G379" i="13"/>
  <c r="H379" i="13"/>
  <c r="I379" i="13"/>
  <c r="J379" i="13"/>
  <c r="K379" i="13"/>
  <c r="F380" i="13"/>
  <c r="G380" i="13"/>
  <c r="H380" i="13"/>
  <c r="I380" i="13"/>
  <c r="J380" i="13"/>
  <c r="K380" i="13"/>
  <c r="F381" i="13"/>
  <c r="G381" i="13"/>
  <c r="H381" i="13"/>
  <c r="I381" i="13"/>
  <c r="J381" i="13"/>
  <c r="K381" i="13"/>
  <c r="F382" i="13"/>
  <c r="G382" i="13"/>
  <c r="H382" i="13"/>
  <c r="I382" i="13"/>
  <c r="J382" i="13"/>
  <c r="K382" i="13"/>
  <c r="F383" i="13"/>
  <c r="G383" i="13"/>
  <c r="H383" i="13"/>
  <c r="I383" i="13"/>
  <c r="J383" i="13"/>
  <c r="K383" i="13"/>
  <c r="F384" i="13"/>
  <c r="G384" i="13"/>
  <c r="H384" i="13"/>
  <c r="I384" i="13"/>
  <c r="J384" i="13"/>
  <c r="K384" i="13"/>
  <c r="F385" i="13"/>
  <c r="G385" i="13"/>
  <c r="H385" i="13"/>
  <c r="I385" i="13"/>
  <c r="J385" i="13"/>
  <c r="K385" i="13"/>
  <c r="F386" i="13"/>
  <c r="G386" i="13"/>
  <c r="H386" i="13"/>
  <c r="I386" i="13"/>
  <c r="J386" i="13"/>
  <c r="K386" i="13"/>
  <c r="F387" i="13"/>
  <c r="G387" i="13"/>
  <c r="H387" i="13"/>
  <c r="I387" i="13"/>
  <c r="J387" i="13"/>
  <c r="K387" i="13"/>
  <c r="F388" i="13"/>
  <c r="G388" i="13"/>
  <c r="H388" i="13"/>
  <c r="I388" i="13"/>
  <c r="J388" i="13"/>
  <c r="K388" i="13"/>
  <c r="F389" i="13"/>
  <c r="G389" i="13"/>
  <c r="H389" i="13"/>
  <c r="I389" i="13"/>
  <c r="J389" i="13"/>
  <c r="K389" i="13"/>
  <c r="F390" i="13"/>
  <c r="G390" i="13"/>
  <c r="H390" i="13"/>
  <c r="I390" i="13"/>
  <c r="J390" i="13"/>
  <c r="K390" i="13"/>
  <c r="F391" i="13"/>
  <c r="G391" i="13"/>
  <c r="H391" i="13"/>
  <c r="I391" i="13"/>
  <c r="J391" i="13"/>
  <c r="K391" i="13"/>
  <c r="F392" i="13"/>
  <c r="G392" i="13"/>
  <c r="H392" i="13"/>
  <c r="I392" i="13"/>
  <c r="J392" i="13"/>
  <c r="K392" i="13"/>
  <c r="F393" i="13"/>
  <c r="G393" i="13"/>
  <c r="H393" i="13"/>
  <c r="I393" i="13"/>
  <c r="J393" i="13"/>
  <c r="K393" i="13"/>
  <c r="F394" i="13"/>
  <c r="G394" i="13"/>
  <c r="H394" i="13"/>
  <c r="I394" i="13"/>
  <c r="J394" i="13"/>
  <c r="K394" i="13"/>
  <c r="F395" i="13"/>
  <c r="G395" i="13"/>
  <c r="H395" i="13"/>
  <c r="I395" i="13"/>
  <c r="J395" i="13"/>
  <c r="K395" i="13"/>
  <c r="F396" i="13"/>
  <c r="G396" i="13"/>
  <c r="H396" i="13"/>
  <c r="I396" i="13"/>
  <c r="J396" i="13"/>
  <c r="K396" i="13"/>
  <c r="F397" i="13"/>
  <c r="G397" i="13"/>
  <c r="H397" i="13"/>
  <c r="I397" i="13"/>
  <c r="J397" i="13"/>
  <c r="K397" i="13"/>
  <c r="F398" i="13"/>
  <c r="G398" i="13"/>
  <c r="H398" i="13"/>
  <c r="I398" i="13"/>
  <c r="J398" i="13"/>
  <c r="K398" i="13"/>
  <c r="F399" i="13"/>
  <c r="G399" i="13"/>
  <c r="H399" i="13"/>
  <c r="I399" i="13"/>
  <c r="J399" i="13"/>
  <c r="K399" i="13"/>
  <c r="F400" i="13"/>
  <c r="G400" i="13"/>
  <c r="H400" i="13"/>
  <c r="I400" i="13"/>
  <c r="J400" i="13"/>
  <c r="K400" i="13"/>
  <c r="F401" i="13"/>
  <c r="G401" i="13"/>
  <c r="H401" i="13"/>
  <c r="I401" i="13"/>
  <c r="J401" i="13"/>
  <c r="K401" i="13"/>
  <c r="F402" i="13"/>
  <c r="G402" i="13"/>
  <c r="H402" i="13"/>
  <c r="I402" i="13"/>
  <c r="J402" i="13"/>
  <c r="K402" i="13"/>
  <c r="F403" i="13"/>
  <c r="G403" i="13"/>
  <c r="H403" i="13"/>
  <c r="I403" i="13"/>
  <c r="J403" i="13"/>
  <c r="K403" i="13"/>
  <c r="F404" i="13"/>
  <c r="G404" i="13"/>
  <c r="H404" i="13"/>
  <c r="I404" i="13"/>
  <c r="J404" i="13"/>
  <c r="K404" i="13"/>
  <c r="F405" i="13"/>
  <c r="G405" i="13"/>
  <c r="H405" i="13"/>
  <c r="I405" i="13"/>
  <c r="J405" i="13"/>
  <c r="K405" i="13"/>
  <c r="F406" i="13"/>
  <c r="G406" i="13"/>
  <c r="H406" i="13"/>
  <c r="I406" i="13"/>
  <c r="J406" i="13"/>
  <c r="K406" i="13"/>
  <c r="F407" i="13"/>
  <c r="G407" i="13"/>
  <c r="H407" i="13"/>
  <c r="I407" i="13"/>
  <c r="J407" i="13"/>
  <c r="K407" i="13"/>
  <c r="F408" i="13"/>
  <c r="G408" i="13"/>
  <c r="H408" i="13"/>
  <c r="I408" i="13"/>
  <c r="J408" i="13"/>
  <c r="K408" i="13"/>
  <c r="F409" i="13"/>
  <c r="G409" i="13"/>
  <c r="H409" i="13"/>
  <c r="I409" i="13"/>
  <c r="J409" i="13"/>
  <c r="K409" i="13"/>
  <c r="F410" i="13"/>
  <c r="G410" i="13"/>
  <c r="H410" i="13"/>
  <c r="I410" i="13"/>
  <c r="J410" i="13"/>
  <c r="K410" i="13"/>
  <c r="F411" i="13"/>
  <c r="G411" i="13"/>
  <c r="H411" i="13"/>
  <c r="I411" i="13"/>
  <c r="J411" i="13"/>
  <c r="K411" i="13"/>
  <c r="F412" i="13"/>
  <c r="G412" i="13"/>
  <c r="H412" i="13"/>
  <c r="I412" i="13"/>
  <c r="J412" i="13"/>
  <c r="K412" i="13"/>
  <c r="F413" i="13"/>
  <c r="G413" i="13"/>
  <c r="H413" i="13"/>
  <c r="I413" i="13"/>
  <c r="J413" i="13"/>
  <c r="K413" i="13"/>
  <c r="F414" i="13"/>
  <c r="G414" i="13"/>
  <c r="H414" i="13"/>
  <c r="I414" i="13"/>
  <c r="J414" i="13"/>
  <c r="K414" i="13"/>
  <c r="F415" i="13"/>
  <c r="G415" i="13"/>
  <c r="H415" i="13"/>
  <c r="I415" i="13"/>
  <c r="J415" i="13"/>
  <c r="K415" i="13"/>
  <c r="F416" i="13"/>
  <c r="G416" i="13"/>
  <c r="H416" i="13"/>
  <c r="I416" i="13"/>
  <c r="J416" i="13"/>
  <c r="K416" i="13"/>
  <c r="F417" i="13"/>
  <c r="G417" i="13"/>
  <c r="H417" i="13"/>
  <c r="I417" i="13"/>
  <c r="J417" i="13"/>
  <c r="K417" i="13"/>
  <c r="F418" i="13"/>
  <c r="G418" i="13"/>
  <c r="H418" i="13"/>
  <c r="I418" i="13"/>
  <c r="J418" i="13"/>
  <c r="K418" i="13"/>
  <c r="F419" i="13"/>
  <c r="G419" i="13"/>
  <c r="H419" i="13"/>
  <c r="I419" i="13"/>
  <c r="J419" i="13"/>
  <c r="K419" i="13"/>
  <c r="F420" i="13"/>
  <c r="G420" i="13"/>
  <c r="H420" i="13"/>
  <c r="I420" i="13"/>
  <c r="J420" i="13"/>
  <c r="K420" i="13"/>
  <c r="F421" i="13"/>
  <c r="G421" i="13"/>
  <c r="H421" i="13"/>
  <c r="I421" i="13"/>
  <c r="J421" i="13"/>
  <c r="K421" i="13"/>
  <c r="F422" i="13"/>
  <c r="G422" i="13"/>
  <c r="H422" i="13"/>
  <c r="I422" i="13"/>
  <c r="J422" i="13"/>
  <c r="K422" i="13"/>
  <c r="F423" i="13"/>
  <c r="G423" i="13"/>
  <c r="H423" i="13"/>
  <c r="I423" i="13"/>
  <c r="J423" i="13"/>
  <c r="K423" i="13"/>
  <c r="F424" i="13"/>
  <c r="G424" i="13"/>
  <c r="H424" i="13"/>
  <c r="I424" i="13"/>
  <c r="J424" i="13"/>
  <c r="K424" i="13"/>
  <c r="F425" i="13"/>
  <c r="G425" i="13"/>
  <c r="H425" i="13"/>
  <c r="I425" i="13"/>
  <c r="J425" i="13"/>
  <c r="K425" i="13"/>
  <c r="F426" i="13"/>
  <c r="G426" i="13"/>
  <c r="H426" i="13"/>
  <c r="I426" i="13"/>
  <c r="J426" i="13"/>
  <c r="K426" i="13"/>
  <c r="F427" i="13"/>
  <c r="G427" i="13"/>
  <c r="H427" i="13"/>
  <c r="I427" i="13"/>
  <c r="J427" i="13"/>
  <c r="K427" i="13"/>
  <c r="F428" i="13"/>
  <c r="G428" i="13"/>
  <c r="H428" i="13"/>
  <c r="I428" i="13"/>
  <c r="J428" i="13"/>
  <c r="K428" i="13"/>
  <c r="F429" i="13"/>
  <c r="G429" i="13"/>
  <c r="H429" i="13"/>
  <c r="I429" i="13"/>
  <c r="J429" i="13"/>
  <c r="K429" i="13"/>
  <c r="F430" i="13"/>
  <c r="G430" i="13"/>
  <c r="H430" i="13"/>
  <c r="I430" i="13"/>
  <c r="J430" i="13"/>
  <c r="K430" i="13"/>
  <c r="F431" i="13"/>
  <c r="G431" i="13"/>
  <c r="H431" i="13"/>
  <c r="I431" i="13"/>
  <c r="J431" i="13"/>
  <c r="K431" i="13"/>
  <c r="F432" i="13"/>
  <c r="G432" i="13"/>
  <c r="H432" i="13"/>
  <c r="I432" i="13"/>
  <c r="J432" i="13"/>
  <c r="K432" i="13"/>
  <c r="F433" i="13"/>
  <c r="G433" i="13"/>
  <c r="H433" i="13"/>
  <c r="I433" i="13"/>
  <c r="J433" i="13"/>
  <c r="K433" i="13"/>
  <c r="F434" i="13"/>
  <c r="G434" i="13"/>
  <c r="H434" i="13"/>
  <c r="I434" i="13"/>
  <c r="J434" i="13"/>
  <c r="K434" i="13"/>
  <c r="F435" i="13"/>
  <c r="G435" i="13"/>
  <c r="H435" i="13"/>
  <c r="I435" i="13"/>
  <c r="J435" i="13"/>
  <c r="K435" i="13"/>
  <c r="F436" i="13"/>
  <c r="G436" i="13"/>
  <c r="H436" i="13"/>
  <c r="I436" i="13"/>
  <c r="J436" i="13"/>
  <c r="K436" i="13"/>
  <c r="F437" i="13"/>
  <c r="G437" i="13"/>
  <c r="H437" i="13"/>
  <c r="I437" i="13"/>
  <c r="J437" i="13"/>
  <c r="K437" i="13"/>
  <c r="F438" i="13"/>
  <c r="G438" i="13"/>
  <c r="H438" i="13"/>
  <c r="I438" i="13"/>
  <c r="J438" i="13"/>
  <c r="K438" i="13"/>
  <c r="F439" i="13"/>
  <c r="G439" i="13"/>
  <c r="H439" i="13"/>
  <c r="I439" i="13"/>
  <c r="J439" i="13"/>
  <c r="K439" i="13"/>
  <c r="F440" i="13"/>
  <c r="G440" i="13"/>
  <c r="H440" i="13"/>
  <c r="I440" i="13"/>
  <c r="J440" i="13"/>
  <c r="K440" i="13"/>
  <c r="F441" i="13"/>
  <c r="G441" i="13"/>
  <c r="H441" i="13"/>
  <c r="I441" i="13"/>
  <c r="J441" i="13"/>
  <c r="K441" i="13"/>
  <c r="F442" i="13"/>
  <c r="G442" i="13"/>
  <c r="H442" i="13"/>
  <c r="I442" i="13"/>
  <c r="J442" i="13"/>
  <c r="K442" i="13"/>
  <c r="F443" i="13"/>
  <c r="G443" i="13"/>
  <c r="H443" i="13"/>
  <c r="I443" i="13"/>
  <c r="J443" i="13"/>
  <c r="K443" i="13"/>
  <c r="F444" i="13"/>
  <c r="G444" i="13"/>
  <c r="H444" i="13"/>
  <c r="I444" i="13"/>
  <c r="J444" i="13"/>
  <c r="K444" i="13"/>
  <c r="F445" i="13"/>
  <c r="G445" i="13"/>
  <c r="H445" i="13"/>
  <c r="I445" i="13"/>
  <c r="J445" i="13"/>
  <c r="K445" i="13"/>
  <c r="F446" i="13"/>
  <c r="G446" i="13"/>
  <c r="H446" i="13"/>
  <c r="I446" i="13"/>
  <c r="J446" i="13"/>
  <c r="K446" i="13"/>
  <c r="F447" i="13"/>
  <c r="G447" i="13"/>
  <c r="H447" i="13"/>
  <c r="I447" i="13"/>
  <c r="J447" i="13"/>
  <c r="K447" i="13"/>
  <c r="F448" i="13"/>
  <c r="G448" i="13"/>
  <c r="H448" i="13"/>
  <c r="I448" i="13"/>
  <c r="J448" i="13"/>
  <c r="K448" i="13"/>
  <c r="F449" i="13"/>
  <c r="G449" i="13"/>
  <c r="H449" i="13"/>
  <c r="I449" i="13"/>
  <c r="J449" i="13"/>
  <c r="K449" i="13"/>
  <c r="F450" i="13"/>
  <c r="G450" i="13"/>
  <c r="H450" i="13"/>
  <c r="I450" i="13"/>
  <c r="J450" i="13"/>
  <c r="K450" i="13"/>
  <c r="F451" i="13"/>
  <c r="G451" i="13"/>
  <c r="H451" i="13"/>
  <c r="I451" i="13"/>
  <c r="J451" i="13"/>
  <c r="K451" i="13"/>
  <c r="F452" i="13"/>
  <c r="G452" i="13"/>
  <c r="H452" i="13"/>
  <c r="I452" i="13"/>
  <c r="J452" i="13"/>
  <c r="K452" i="13"/>
  <c r="F453" i="13"/>
  <c r="G453" i="13"/>
  <c r="H453" i="13"/>
  <c r="I453" i="13"/>
  <c r="J453" i="13"/>
  <c r="K453" i="13"/>
  <c r="F454" i="13"/>
  <c r="G454" i="13"/>
  <c r="H454" i="13"/>
  <c r="I454" i="13"/>
  <c r="J454" i="13"/>
  <c r="K454" i="13"/>
  <c r="F455" i="13"/>
  <c r="G455" i="13"/>
  <c r="H455" i="13"/>
  <c r="I455" i="13"/>
  <c r="J455" i="13"/>
  <c r="K455" i="13"/>
  <c r="F456" i="13"/>
  <c r="G456" i="13"/>
  <c r="H456" i="13"/>
  <c r="I456" i="13"/>
  <c r="J456" i="13"/>
  <c r="K456" i="13"/>
  <c r="F457" i="13"/>
  <c r="G457" i="13"/>
  <c r="H457" i="13"/>
  <c r="I457" i="13"/>
  <c r="J457" i="13"/>
  <c r="K457" i="13"/>
  <c r="F458" i="13"/>
  <c r="G458" i="13"/>
  <c r="H458" i="13"/>
  <c r="I458" i="13"/>
  <c r="J458" i="13"/>
  <c r="K458" i="13"/>
  <c r="F459" i="13"/>
  <c r="G459" i="13"/>
  <c r="H459" i="13"/>
  <c r="I459" i="13"/>
  <c r="J459" i="13"/>
  <c r="K459" i="13"/>
  <c r="F460" i="13"/>
  <c r="G460" i="13"/>
  <c r="H460" i="13"/>
  <c r="I460" i="13"/>
  <c r="J460" i="13"/>
  <c r="K460" i="13"/>
  <c r="F461" i="13"/>
  <c r="G461" i="13"/>
  <c r="H461" i="13"/>
  <c r="I461" i="13"/>
  <c r="J461" i="13"/>
  <c r="K461" i="13"/>
  <c r="F462" i="13"/>
  <c r="G462" i="13"/>
  <c r="H462" i="13"/>
  <c r="I462" i="13"/>
  <c r="J462" i="13"/>
  <c r="K462" i="13"/>
  <c r="F463" i="13"/>
  <c r="G463" i="13"/>
  <c r="H463" i="13"/>
  <c r="I463" i="13"/>
  <c r="J463" i="13"/>
  <c r="K463" i="13"/>
  <c r="F464" i="13"/>
  <c r="G464" i="13"/>
  <c r="H464" i="13"/>
  <c r="I464" i="13"/>
  <c r="J464" i="13"/>
  <c r="K464" i="13"/>
  <c r="F465" i="13"/>
  <c r="G465" i="13"/>
  <c r="H465" i="13"/>
  <c r="I465" i="13"/>
  <c r="J465" i="13"/>
  <c r="K465" i="13"/>
  <c r="F466" i="13"/>
  <c r="G466" i="13"/>
  <c r="H466" i="13"/>
  <c r="I466" i="13"/>
  <c r="J466" i="13"/>
  <c r="K466" i="13"/>
  <c r="F467" i="13"/>
  <c r="G467" i="13"/>
  <c r="H467" i="13"/>
  <c r="I467" i="13"/>
  <c r="J467" i="13"/>
  <c r="K467" i="13"/>
  <c r="F468" i="13"/>
  <c r="G468" i="13"/>
  <c r="H468" i="13"/>
  <c r="I468" i="13"/>
  <c r="J468" i="13"/>
  <c r="K468" i="13"/>
  <c r="F469" i="13"/>
  <c r="G469" i="13"/>
  <c r="H469" i="13"/>
  <c r="I469" i="13"/>
  <c r="J469" i="13"/>
  <c r="K469" i="13"/>
  <c r="F470" i="13"/>
  <c r="G470" i="13"/>
  <c r="H470" i="13"/>
  <c r="I470" i="13"/>
  <c r="J470" i="13"/>
  <c r="K470" i="13"/>
  <c r="F471" i="13"/>
  <c r="G471" i="13"/>
  <c r="H471" i="13"/>
  <c r="I471" i="13"/>
  <c r="J471" i="13"/>
  <c r="K471" i="13"/>
  <c r="F472" i="13"/>
  <c r="G472" i="13"/>
  <c r="H472" i="13"/>
  <c r="I472" i="13"/>
  <c r="J472" i="13"/>
  <c r="K472" i="13"/>
  <c r="F473" i="13"/>
  <c r="G473" i="13"/>
  <c r="H473" i="13"/>
  <c r="I473" i="13"/>
  <c r="J473" i="13"/>
  <c r="K473" i="13"/>
  <c r="F474" i="13"/>
  <c r="G474" i="13"/>
  <c r="H474" i="13"/>
  <c r="I474" i="13"/>
  <c r="J474" i="13"/>
  <c r="K474" i="13"/>
  <c r="F475" i="13"/>
  <c r="G475" i="13"/>
  <c r="H475" i="13"/>
  <c r="I475" i="13"/>
  <c r="J475" i="13"/>
  <c r="K475" i="13"/>
  <c r="F476" i="13"/>
  <c r="G476" i="13"/>
  <c r="H476" i="13"/>
  <c r="I476" i="13"/>
  <c r="J476" i="13"/>
  <c r="K476" i="13"/>
  <c r="F477" i="13"/>
  <c r="G477" i="13"/>
  <c r="H477" i="13"/>
  <c r="I477" i="13"/>
  <c r="J477" i="13"/>
  <c r="K477" i="13"/>
  <c r="F478" i="13"/>
  <c r="G478" i="13"/>
  <c r="H478" i="13"/>
  <c r="I478" i="13"/>
  <c r="J478" i="13"/>
  <c r="K478" i="13"/>
  <c r="F479" i="13"/>
  <c r="G479" i="13"/>
  <c r="H479" i="13"/>
  <c r="I479" i="13"/>
  <c r="J479" i="13"/>
  <c r="K479" i="13"/>
  <c r="F480" i="13"/>
  <c r="G480" i="13"/>
  <c r="H480" i="13"/>
  <c r="I480" i="13"/>
  <c r="J480" i="13"/>
  <c r="K480" i="13"/>
  <c r="F481" i="13"/>
  <c r="G481" i="13"/>
  <c r="H481" i="13"/>
  <c r="I481" i="13"/>
  <c r="J481" i="13"/>
  <c r="K481" i="13"/>
  <c r="F482" i="13"/>
  <c r="G482" i="13"/>
  <c r="H482" i="13"/>
  <c r="I482" i="13"/>
  <c r="J482" i="13"/>
  <c r="K482" i="13"/>
  <c r="F483" i="13"/>
  <c r="G483" i="13"/>
  <c r="H483" i="13"/>
  <c r="I483" i="13"/>
  <c r="J483" i="13"/>
  <c r="K483" i="13"/>
  <c r="F484" i="13"/>
  <c r="G484" i="13"/>
  <c r="H484" i="13"/>
  <c r="I484" i="13"/>
  <c r="J484" i="13"/>
  <c r="K484" i="13"/>
  <c r="F485" i="13"/>
  <c r="G485" i="13"/>
  <c r="H485" i="13"/>
  <c r="I485" i="13"/>
  <c r="J485" i="13"/>
  <c r="K485" i="13"/>
  <c r="F486" i="13"/>
  <c r="G486" i="13"/>
  <c r="H486" i="13"/>
  <c r="I486" i="13"/>
  <c r="J486" i="13"/>
  <c r="K486" i="13"/>
  <c r="F487" i="13"/>
  <c r="G487" i="13"/>
  <c r="H487" i="13"/>
  <c r="I487" i="13"/>
  <c r="J487" i="13"/>
  <c r="K487" i="13"/>
  <c r="F488" i="13"/>
  <c r="G488" i="13"/>
  <c r="H488" i="13"/>
  <c r="I488" i="13"/>
  <c r="J488" i="13"/>
  <c r="K488" i="13"/>
  <c r="F489" i="13"/>
  <c r="G489" i="13"/>
  <c r="H489" i="13"/>
  <c r="I489" i="13"/>
  <c r="J489" i="13"/>
  <c r="K489" i="13"/>
  <c r="F490" i="13"/>
  <c r="G490" i="13"/>
  <c r="H490" i="13"/>
  <c r="I490" i="13"/>
  <c r="J490" i="13"/>
  <c r="K490" i="13"/>
  <c r="F491" i="13"/>
  <c r="G491" i="13"/>
  <c r="H491" i="13"/>
  <c r="I491" i="13"/>
  <c r="J491" i="13"/>
  <c r="K491" i="13"/>
  <c r="F492" i="13"/>
  <c r="G492" i="13"/>
  <c r="H492" i="13"/>
  <c r="I492" i="13"/>
  <c r="J492" i="13"/>
  <c r="K492" i="13"/>
  <c r="F493" i="13"/>
  <c r="G493" i="13"/>
  <c r="H493" i="13"/>
  <c r="I493" i="13"/>
  <c r="J493" i="13"/>
  <c r="K493" i="13"/>
  <c r="F494" i="13"/>
  <c r="G494" i="13"/>
  <c r="H494" i="13"/>
  <c r="I494" i="13"/>
  <c r="J494" i="13"/>
  <c r="K494" i="13"/>
  <c r="F495" i="13"/>
  <c r="G495" i="13"/>
  <c r="H495" i="13"/>
  <c r="I495" i="13"/>
  <c r="J495" i="13"/>
  <c r="K495" i="13"/>
  <c r="F496" i="13"/>
  <c r="G496" i="13"/>
  <c r="H496" i="13"/>
  <c r="I496" i="13"/>
  <c r="J496" i="13"/>
  <c r="K496" i="13"/>
  <c r="F497" i="13"/>
  <c r="G497" i="13"/>
  <c r="H497" i="13"/>
  <c r="I497" i="13"/>
  <c r="J497" i="13"/>
  <c r="K497" i="13"/>
  <c r="F498" i="13"/>
  <c r="G498" i="13"/>
  <c r="H498" i="13"/>
  <c r="I498" i="13"/>
  <c r="J498" i="13"/>
  <c r="K498" i="13"/>
  <c r="F499" i="13"/>
  <c r="G499" i="13"/>
  <c r="H499" i="13"/>
  <c r="I499" i="13"/>
  <c r="J499" i="13"/>
  <c r="K499" i="13"/>
  <c r="F500" i="13"/>
  <c r="G500" i="13"/>
  <c r="H500" i="13"/>
  <c r="I500" i="13"/>
  <c r="J500" i="13"/>
  <c r="K500" i="13"/>
  <c r="F501" i="13"/>
  <c r="G501" i="13"/>
  <c r="H501" i="13"/>
  <c r="I501" i="13"/>
  <c r="J501" i="13"/>
  <c r="K501" i="13"/>
  <c r="F502" i="13"/>
  <c r="G502" i="13"/>
  <c r="H502" i="13"/>
  <c r="I502" i="13"/>
  <c r="J502" i="13"/>
  <c r="K502" i="13"/>
  <c r="F503" i="13"/>
  <c r="G503" i="13"/>
  <c r="H503" i="13"/>
  <c r="I503" i="13"/>
  <c r="J503" i="13"/>
  <c r="K503" i="13"/>
  <c r="F504" i="13"/>
  <c r="G504" i="13"/>
  <c r="H504" i="13"/>
  <c r="I504" i="13"/>
  <c r="J504" i="13"/>
  <c r="K504" i="13"/>
  <c r="F505" i="13"/>
  <c r="G505" i="13"/>
  <c r="H505" i="13"/>
  <c r="I505" i="13"/>
  <c r="J505" i="13"/>
  <c r="K505" i="13"/>
  <c r="F506" i="13"/>
  <c r="G506" i="13"/>
  <c r="H506" i="13"/>
  <c r="I506" i="13"/>
  <c r="J506" i="13"/>
  <c r="K506" i="13"/>
  <c r="F507" i="13"/>
  <c r="G507" i="13"/>
  <c r="H507" i="13"/>
  <c r="I507" i="13"/>
  <c r="J507" i="13"/>
  <c r="K507" i="13"/>
  <c r="F508" i="13"/>
  <c r="G508" i="13"/>
  <c r="H508" i="13"/>
  <c r="I508" i="13"/>
  <c r="J508" i="13"/>
  <c r="K508" i="13"/>
  <c r="F509" i="13"/>
  <c r="G509" i="13"/>
  <c r="H509" i="13"/>
  <c r="I509" i="13"/>
  <c r="J509" i="13"/>
  <c r="K509" i="13"/>
  <c r="F510" i="13"/>
  <c r="G510" i="13"/>
  <c r="H510" i="13"/>
  <c r="I510" i="13"/>
  <c r="J510" i="13"/>
  <c r="K510" i="13"/>
  <c r="F511" i="13"/>
  <c r="G511" i="13"/>
  <c r="H511" i="13"/>
  <c r="I511" i="13"/>
  <c r="J511" i="13"/>
  <c r="K511" i="13"/>
  <c r="F512" i="13"/>
  <c r="G512" i="13"/>
  <c r="H512" i="13"/>
  <c r="I512" i="13"/>
  <c r="J512" i="13"/>
  <c r="K512" i="13"/>
  <c r="F513" i="13"/>
  <c r="G513" i="13"/>
  <c r="H513" i="13"/>
  <c r="I513" i="13"/>
  <c r="J513" i="13"/>
  <c r="K513" i="13"/>
  <c r="F514" i="13"/>
  <c r="G514" i="13"/>
  <c r="H514" i="13"/>
  <c r="I514" i="13"/>
  <c r="J514" i="13"/>
  <c r="K514" i="13"/>
  <c r="F515" i="13"/>
  <c r="G515" i="13"/>
  <c r="H515" i="13"/>
  <c r="I515" i="13"/>
  <c r="J515" i="13"/>
  <c r="K515" i="13"/>
  <c r="F516" i="13"/>
  <c r="G516" i="13"/>
  <c r="H516" i="13"/>
  <c r="I516" i="13"/>
  <c r="J516" i="13"/>
  <c r="K516" i="13"/>
  <c r="F517" i="13"/>
  <c r="G517" i="13"/>
  <c r="H517" i="13"/>
  <c r="I517" i="13"/>
  <c r="J517" i="13"/>
  <c r="K517" i="13"/>
  <c r="F518" i="13"/>
  <c r="G518" i="13"/>
  <c r="H518" i="13"/>
  <c r="I518" i="13"/>
  <c r="J518" i="13"/>
  <c r="K518" i="13"/>
  <c r="F519" i="13"/>
  <c r="G519" i="13"/>
  <c r="H519" i="13"/>
  <c r="I519" i="13"/>
  <c r="J519" i="13"/>
  <c r="K519" i="13"/>
  <c r="F520" i="13"/>
  <c r="G520" i="13"/>
  <c r="H520" i="13"/>
  <c r="I520" i="13"/>
  <c r="J520" i="13"/>
  <c r="K520" i="13"/>
  <c r="F521" i="13"/>
  <c r="G521" i="13"/>
  <c r="H521" i="13"/>
  <c r="I521" i="13"/>
  <c r="J521" i="13"/>
  <c r="K521" i="13"/>
  <c r="F522" i="13"/>
  <c r="G522" i="13"/>
  <c r="H522" i="13"/>
  <c r="I522" i="13"/>
  <c r="J522" i="13"/>
  <c r="K522" i="13"/>
  <c r="F523" i="13"/>
  <c r="G523" i="13"/>
  <c r="H523" i="13"/>
  <c r="I523" i="13"/>
  <c r="J523" i="13"/>
  <c r="K523" i="13"/>
  <c r="F524" i="13"/>
  <c r="G524" i="13"/>
  <c r="H524" i="13"/>
  <c r="I524" i="13"/>
  <c r="J524" i="13"/>
  <c r="K524" i="13"/>
  <c r="F525" i="13"/>
  <c r="G525" i="13"/>
  <c r="H525" i="13"/>
  <c r="I525" i="13"/>
  <c r="J525" i="13"/>
  <c r="K525" i="13"/>
  <c r="F526" i="13"/>
  <c r="G526" i="13"/>
  <c r="H526" i="13"/>
  <c r="I526" i="13"/>
  <c r="J526" i="13"/>
  <c r="K526" i="13"/>
  <c r="F527" i="13"/>
  <c r="G527" i="13"/>
  <c r="H527" i="13"/>
  <c r="I527" i="13"/>
  <c r="J527" i="13"/>
  <c r="K527" i="13"/>
  <c r="F528" i="13"/>
  <c r="G528" i="13"/>
  <c r="H528" i="13"/>
  <c r="I528" i="13"/>
  <c r="J528" i="13"/>
  <c r="K528" i="13"/>
  <c r="F529" i="13"/>
  <c r="G529" i="13"/>
  <c r="H529" i="13"/>
  <c r="I529" i="13"/>
  <c r="J529" i="13"/>
  <c r="K529" i="13"/>
  <c r="F530" i="13"/>
  <c r="G530" i="13"/>
  <c r="H530" i="13"/>
  <c r="I530" i="13"/>
  <c r="J530" i="13"/>
  <c r="K530" i="13"/>
  <c r="F531" i="13"/>
  <c r="G531" i="13"/>
  <c r="H531" i="13"/>
  <c r="I531" i="13"/>
  <c r="J531" i="13"/>
  <c r="K531" i="13"/>
  <c r="F532" i="13"/>
  <c r="G532" i="13"/>
  <c r="H532" i="13"/>
  <c r="I532" i="13"/>
  <c r="J532" i="13"/>
  <c r="K532" i="13"/>
  <c r="F533" i="13"/>
  <c r="G533" i="13"/>
  <c r="H533" i="13"/>
  <c r="I533" i="13"/>
  <c r="J533" i="13"/>
  <c r="K533" i="13"/>
  <c r="F534" i="13"/>
  <c r="G534" i="13"/>
  <c r="H534" i="13"/>
  <c r="I534" i="13"/>
  <c r="J534" i="13"/>
  <c r="K534" i="13"/>
  <c r="F535" i="13"/>
  <c r="G535" i="13"/>
  <c r="H535" i="13"/>
  <c r="I535" i="13"/>
  <c r="J535" i="13"/>
  <c r="K535" i="13"/>
  <c r="F536" i="13"/>
  <c r="G536" i="13"/>
  <c r="H536" i="13"/>
  <c r="I536" i="13"/>
  <c r="J536" i="13"/>
  <c r="K536" i="13"/>
  <c r="F537" i="13"/>
  <c r="G537" i="13"/>
  <c r="H537" i="13"/>
  <c r="I537" i="13"/>
  <c r="J537" i="13"/>
  <c r="K537" i="13"/>
  <c r="F538" i="13"/>
  <c r="G538" i="13"/>
  <c r="H538" i="13"/>
  <c r="I538" i="13"/>
  <c r="J538" i="13"/>
  <c r="K538" i="13"/>
  <c r="F539" i="13"/>
  <c r="G539" i="13"/>
  <c r="H539" i="13"/>
  <c r="I539" i="13"/>
  <c r="J539" i="13"/>
  <c r="K539" i="13"/>
  <c r="F540" i="13"/>
  <c r="G540" i="13"/>
  <c r="H540" i="13"/>
  <c r="I540" i="13"/>
  <c r="J540" i="13"/>
  <c r="K540" i="13"/>
  <c r="F541" i="13"/>
  <c r="G541" i="13"/>
  <c r="H541" i="13"/>
  <c r="I541" i="13"/>
  <c r="J541" i="13"/>
  <c r="K541" i="13"/>
  <c r="F542" i="13"/>
  <c r="G542" i="13"/>
  <c r="H542" i="13"/>
  <c r="I542" i="13"/>
  <c r="J542" i="13"/>
  <c r="K542" i="13"/>
  <c r="F543" i="13"/>
  <c r="G543" i="13"/>
  <c r="H543" i="13"/>
  <c r="I543" i="13"/>
  <c r="J543" i="13"/>
  <c r="K543" i="13"/>
  <c r="F544" i="13"/>
  <c r="G544" i="13"/>
  <c r="H544" i="13"/>
  <c r="I544" i="13"/>
  <c r="J544" i="13"/>
  <c r="K544" i="13"/>
  <c r="F545" i="13"/>
  <c r="G545" i="13"/>
  <c r="H545" i="13"/>
  <c r="I545" i="13"/>
  <c r="J545" i="13"/>
  <c r="K545" i="13"/>
  <c r="F546" i="13"/>
  <c r="G546" i="13"/>
  <c r="H546" i="13"/>
  <c r="I546" i="13"/>
  <c r="J546" i="13"/>
  <c r="K546" i="13"/>
  <c r="F547" i="13"/>
  <c r="G547" i="13"/>
  <c r="H547" i="13"/>
  <c r="I547" i="13"/>
  <c r="J547" i="13"/>
  <c r="K547" i="13"/>
  <c r="F548" i="13"/>
  <c r="G548" i="13"/>
  <c r="H548" i="13"/>
  <c r="I548" i="13"/>
  <c r="J548" i="13"/>
  <c r="K548" i="13"/>
  <c r="F549" i="13"/>
  <c r="G549" i="13"/>
  <c r="H549" i="13"/>
  <c r="I549" i="13"/>
  <c r="J549" i="13"/>
  <c r="K549" i="13"/>
  <c r="F550" i="13"/>
  <c r="G550" i="13"/>
  <c r="H550" i="13"/>
  <c r="I550" i="13"/>
  <c r="J550" i="13"/>
  <c r="K550" i="13"/>
  <c r="F551" i="13"/>
  <c r="G551" i="13"/>
  <c r="H551" i="13"/>
  <c r="I551" i="13"/>
  <c r="J551" i="13"/>
  <c r="K551" i="13"/>
  <c r="F552" i="13"/>
  <c r="G552" i="13"/>
  <c r="H552" i="13"/>
  <c r="I552" i="13"/>
  <c r="J552" i="13"/>
  <c r="K552" i="13"/>
  <c r="F553" i="13"/>
  <c r="G553" i="13"/>
  <c r="H553" i="13"/>
  <c r="I553" i="13"/>
  <c r="J553" i="13"/>
  <c r="K553" i="13"/>
  <c r="F554" i="13"/>
  <c r="G554" i="13"/>
  <c r="H554" i="13"/>
  <c r="I554" i="13"/>
  <c r="J554" i="13"/>
  <c r="K554" i="13"/>
  <c r="F555" i="13"/>
  <c r="G555" i="13"/>
  <c r="H555" i="13"/>
  <c r="I555" i="13"/>
  <c r="J555" i="13"/>
  <c r="K555" i="13"/>
  <c r="F556" i="13"/>
  <c r="G556" i="13"/>
  <c r="H556" i="13"/>
  <c r="I556" i="13"/>
  <c r="J556" i="13"/>
  <c r="K556" i="13"/>
  <c r="F557" i="13"/>
  <c r="G557" i="13"/>
  <c r="H557" i="13"/>
  <c r="I557" i="13"/>
  <c r="J557" i="13"/>
  <c r="K557" i="13"/>
  <c r="F558" i="13"/>
  <c r="G558" i="13"/>
  <c r="H558" i="13"/>
  <c r="I558" i="13"/>
  <c r="J558" i="13"/>
  <c r="K558" i="13"/>
  <c r="F559" i="13"/>
  <c r="G559" i="13"/>
  <c r="H559" i="13"/>
  <c r="I559" i="13"/>
  <c r="J559" i="13"/>
  <c r="K559" i="13"/>
  <c r="F560" i="13"/>
  <c r="G560" i="13"/>
  <c r="H560" i="13"/>
  <c r="I560" i="13"/>
  <c r="J560" i="13"/>
  <c r="K560" i="13"/>
  <c r="F561" i="13"/>
  <c r="G561" i="13"/>
  <c r="H561" i="13"/>
  <c r="I561" i="13"/>
  <c r="J561" i="13"/>
  <c r="K561" i="13"/>
  <c r="F562" i="13"/>
  <c r="G562" i="13"/>
  <c r="H562" i="13"/>
  <c r="I562" i="13"/>
  <c r="J562" i="13"/>
  <c r="K562" i="13"/>
  <c r="F563" i="13"/>
  <c r="G563" i="13"/>
  <c r="H563" i="13"/>
  <c r="I563" i="13"/>
  <c r="J563" i="13"/>
  <c r="K563" i="13"/>
  <c r="F564" i="13"/>
  <c r="G564" i="13"/>
  <c r="H564" i="13"/>
  <c r="I564" i="13"/>
  <c r="J564" i="13"/>
  <c r="K564" i="13"/>
  <c r="F565" i="13"/>
  <c r="G565" i="13"/>
  <c r="H565" i="13"/>
  <c r="I565" i="13"/>
  <c r="J565" i="13"/>
  <c r="K565" i="13"/>
  <c r="F566" i="13"/>
  <c r="G566" i="13"/>
  <c r="H566" i="13"/>
  <c r="I566" i="13"/>
  <c r="J566" i="13"/>
  <c r="K566" i="13"/>
  <c r="F567" i="13"/>
  <c r="G567" i="13"/>
  <c r="H567" i="13"/>
  <c r="I567" i="13"/>
  <c r="J567" i="13"/>
  <c r="K567" i="13"/>
  <c r="F568" i="13"/>
  <c r="G568" i="13"/>
  <c r="H568" i="13"/>
  <c r="I568" i="13"/>
  <c r="J568" i="13"/>
  <c r="K568" i="13"/>
  <c r="F569" i="13"/>
  <c r="G569" i="13"/>
  <c r="H569" i="13"/>
  <c r="I569" i="13"/>
  <c r="J569" i="13"/>
  <c r="K569" i="13"/>
  <c r="F570" i="13"/>
  <c r="G570" i="13"/>
  <c r="H570" i="13"/>
  <c r="I570" i="13"/>
  <c r="J570" i="13"/>
  <c r="K570" i="13"/>
  <c r="F571" i="13"/>
  <c r="G571" i="13"/>
  <c r="H571" i="13"/>
  <c r="I571" i="13"/>
  <c r="J571" i="13"/>
  <c r="K571" i="13"/>
  <c r="F572" i="13"/>
  <c r="G572" i="13"/>
  <c r="H572" i="13"/>
  <c r="I572" i="13"/>
  <c r="J572" i="13"/>
  <c r="K572" i="13"/>
  <c r="F573" i="13"/>
  <c r="G573" i="13"/>
  <c r="H573" i="13"/>
  <c r="I573" i="13"/>
  <c r="J573" i="13"/>
  <c r="K573" i="13"/>
  <c r="F574" i="13"/>
  <c r="G574" i="13"/>
  <c r="H574" i="13"/>
  <c r="I574" i="13"/>
  <c r="J574" i="13"/>
  <c r="K574" i="13"/>
  <c r="F575" i="13"/>
  <c r="G575" i="13"/>
  <c r="H575" i="13"/>
  <c r="I575" i="13"/>
  <c r="J575" i="13"/>
  <c r="K575" i="13"/>
  <c r="F576" i="13"/>
  <c r="G576" i="13"/>
  <c r="H576" i="13"/>
  <c r="I576" i="13"/>
  <c r="J576" i="13"/>
  <c r="K576" i="13"/>
  <c r="F577" i="13"/>
  <c r="G577" i="13"/>
  <c r="H577" i="13"/>
  <c r="I577" i="13"/>
  <c r="J577" i="13"/>
  <c r="K577" i="13"/>
  <c r="F578" i="13"/>
  <c r="G578" i="13"/>
  <c r="H578" i="13"/>
  <c r="I578" i="13"/>
  <c r="J578" i="13"/>
  <c r="K578" i="13"/>
  <c r="F579" i="13"/>
  <c r="G579" i="13"/>
  <c r="H579" i="13"/>
  <c r="I579" i="13"/>
  <c r="J579" i="13"/>
  <c r="K579" i="13"/>
  <c r="F580" i="13"/>
  <c r="G580" i="13"/>
  <c r="H580" i="13"/>
  <c r="I580" i="13"/>
  <c r="J580" i="13"/>
  <c r="K580" i="13"/>
  <c r="F581" i="13"/>
  <c r="G581" i="13"/>
  <c r="H581" i="13"/>
  <c r="I581" i="13"/>
  <c r="J581" i="13"/>
  <c r="K581" i="13"/>
  <c r="F582" i="13"/>
  <c r="G582" i="13"/>
  <c r="H582" i="13"/>
  <c r="I582" i="13"/>
  <c r="J582" i="13"/>
  <c r="K582" i="13"/>
  <c r="F583" i="13"/>
  <c r="G583" i="13"/>
  <c r="H583" i="13"/>
  <c r="I583" i="13"/>
  <c r="J583" i="13"/>
  <c r="K583" i="13"/>
  <c r="F584" i="13"/>
  <c r="G584" i="13"/>
  <c r="H584" i="13"/>
  <c r="I584" i="13"/>
  <c r="J584" i="13"/>
  <c r="K584" i="13"/>
  <c r="F585" i="13"/>
  <c r="G585" i="13"/>
  <c r="H585" i="13"/>
  <c r="I585" i="13"/>
  <c r="J585" i="13"/>
  <c r="K585" i="13"/>
  <c r="F586" i="13"/>
  <c r="G586" i="13"/>
  <c r="H586" i="13"/>
  <c r="I586" i="13"/>
  <c r="J586" i="13"/>
  <c r="K586" i="13"/>
  <c r="F587" i="13"/>
  <c r="G587" i="13"/>
  <c r="H587" i="13"/>
  <c r="I587" i="13"/>
  <c r="J587" i="13"/>
  <c r="K587" i="13"/>
  <c r="F588" i="13"/>
  <c r="G588" i="13"/>
  <c r="H588" i="13"/>
  <c r="I588" i="13"/>
  <c r="J588" i="13"/>
  <c r="K588" i="13"/>
  <c r="F589" i="13"/>
  <c r="G589" i="13"/>
  <c r="H589" i="13"/>
  <c r="I589" i="13"/>
  <c r="J589" i="13"/>
  <c r="K589" i="13"/>
  <c r="F590" i="13"/>
  <c r="G590" i="13"/>
  <c r="H590" i="13"/>
  <c r="I590" i="13"/>
  <c r="J590" i="13"/>
  <c r="K590" i="13"/>
  <c r="F591" i="13"/>
  <c r="G591" i="13"/>
  <c r="H591" i="13"/>
  <c r="I591" i="13"/>
  <c r="J591" i="13"/>
  <c r="K591" i="13"/>
  <c r="F592" i="13"/>
  <c r="G592" i="13"/>
  <c r="H592" i="13"/>
  <c r="I592" i="13"/>
  <c r="J592" i="13"/>
  <c r="K592" i="13"/>
  <c r="F593" i="13"/>
  <c r="G593" i="13"/>
  <c r="H593" i="13"/>
  <c r="I593" i="13"/>
  <c r="J593" i="13"/>
  <c r="K593" i="13"/>
  <c r="F594" i="13"/>
  <c r="G594" i="13"/>
  <c r="H594" i="13"/>
  <c r="I594" i="13"/>
  <c r="J594" i="13"/>
  <c r="K594" i="13"/>
  <c r="F595" i="13"/>
  <c r="G595" i="13"/>
  <c r="H595" i="13"/>
  <c r="I595" i="13"/>
  <c r="J595" i="13"/>
  <c r="K595" i="13"/>
  <c r="F596" i="13"/>
  <c r="G596" i="13"/>
  <c r="H596" i="13"/>
  <c r="I596" i="13"/>
  <c r="J596" i="13"/>
  <c r="K596" i="13"/>
  <c r="F597" i="13"/>
  <c r="G597" i="13"/>
  <c r="H597" i="13"/>
  <c r="I597" i="13"/>
  <c r="J597" i="13"/>
  <c r="K597" i="13"/>
  <c r="F598" i="13"/>
  <c r="G598" i="13"/>
  <c r="H598" i="13"/>
  <c r="I598" i="13"/>
  <c r="J598" i="13"/>
  <c r="K598" i="13"/>
  <c r="F599" i="13"/>
  <c r="G599" i="13"/>
  <c r="H599" i="13"/>
  <c r="I599" i="13"/>
  <c r="J599" i="13"/>
  <c r="K599" i="13"/>
  <c r="F600" i="13"/>
  <c r="G600" i="13"/>
  <c r="H600" i="13"/>
  <c r="I600" i="13"/>
  <c r="J600" i="13"/>
  <c r="K600" i="13"/>
  <c r="F601" i="13"/>
  <c r="G601" i="13"/>
  <c r="H601" i="13"/>
  <c r="I601" i="13"/>
  <c r="J601" i="13"/>
  <c r="K601" i="13"/>
  <c r="F602" i="13"/>
  <c r="G602" i="13"/>
  <c r="H602" i="13"/>
  <c r="I602" i="13"/>
  <c r="J602" i="13"/>
  <c r="K602" i="13"/>
  <c r="F603" i="13"/>
  <c r="G603" i="13"/>
  <c r="H603" i="13"/>
  <c r="I603" i="13"/>
  <c r="J603" i="13"/>
  <c r="K603" i="13"/>
  <c r="F604" i="13"/>
  <c r="G604" i="13"/>
  <c r="H604" i="13"/>
  <c r="I604" i="13"/>
  <c r="J604" i="13"/>
  <c r="K604" i="13"/>
  <c r="F605" i="13"/>
  <c r="G605" i="13"/>
  <c r="H605" i="13"/>
  <c r="I605" i="13"/>
  <c r="J605" i="13"/>
  <c r="K605" i="13"/>
  <c r="F606" i="13"/>
  <c r="G606" i="13"/>
  <c r="H606" i="13"/>
  <c r="I606" i="13"/>
  <c r="J606" i="13"/>
  <c r="K606" i="13"/>
  <c r="F607" i="13"/>
  <c r="G607" i="13"/>
  <c r="H607" i="13"/>
  <c r="I607" i="13"/>
  <c r="J607" i="13"/>
  <c r="K607" i="13"/>
  <c r="F608" i="13"/>
  <c r="G608" i="13"/>
  <c r="H608" i="13"/>
  <c r="I608" i="13"/>
  <c r="J608" i="13"/>
  <c r="K608" i="13"/>
  <c r="F609" i="13"/>
  <c r="G609" i="13"/>
  <c r="H609" i="13"/>
  <c r="I609" i="13"/>
  <c r="J609" i="13"/>
  <c r="K609" i="13"/>
  <c r="F610" i="13"/>
  <c r="G610" i="13"/>
  <c r="H610" i="13"/>
  <c r="I610" i="13"/>
  <c r="J610" i="13"/>
  <c r="K610" i="13"/>
  <c r="F611" i="13"/>
  <c r="G611" i="13"/>
  <c r="H611" i="13"/>
  <c r="I611" i="13"/>
  <c r="J611" i="13"/>
  <c r="K611" i="13"/>
  <c r="K12" i="13"/>
  <c r="J12" i="13"/>
  <c r="I12" i="13"/>
  <c r="H12" i="13"/>
  <c r="G12" i="13"/>
  <c r="F12" i="13"/>
  <c r="E11" i="13"/>
  <c r="AF11" i="13" s="1"/>
  <c r="C11" i="13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C140" i="13" s="1"/>
  <c r="C141" i="13" s="1"/>
  <c r="C142" i="13" s="1"/>
  <c r="C143" i="13" s="1"/>
  <c r="C144" i="13" s="1"/>
  <c r="C145" i="13" s="1"/>
  <c r="C146" i="13" s="1"/>
  <c r="C147" i="13" s="1"/>
  <c r="C148" i="13" s="1"/>
  <c r="C149" i="13" s="1"/>
  <c r="C150" i="13" s="1"/>
  <c r="C151" i="13" s="1"/>
  <c r="C152" i="13" s="1"/>
  <c r="C153" i="13" s="1"/>
  <c r="C154" i="13" s="1"/>
  <c r="C155" i="13" s="1"/>
  <c r="C156" i="13" s="1"/>
  <c r="C157" i="13" s="1"/>
  <c r="C158" i="13" s="1"/>
  <c r="C159" i="13" s="1"/>
  <c r="C160" i="13" s="1"/>
  <c r="C161" i="13" s="1"/>
  <c r="C162" i="13" s="1"/>
  <c r="C163" i="13" s="1"/>
  <c r="C164" i="13" s="1"/>
  <c r="C165" i="13" s="1"/>
  <c r="C166" i="13" s="1"/>
  <c r="C167" i="13" s="1"/>
  <c r="C168" i="13" s="1"/>
  <c r="C169" i="13" s="1"/>
  <c r="C170" i="13" s="1"/>
  <c r="C171" i="13" s="1"/>
  <c r="C172" i="13" s="1"/>
  <c r="C173" i="13" s="1"/>
  <c r="C174" i="13" s="1"/>
  <c r="C175" i="13" s="1"/>
  <c r="C176" i="13" s="1"/>
  <c r="C177" i="13" s="1"/>
  <c r="C178" i="13" s="1"/>
  <c r="C179" i="13" s="1"/>
  <c r="C180" i="13" s="1"/>
  <c r="C181" i="13" s="1"/>
  <c r="C182" i="13" s="1"/>
  <c r="C183" i="13" s="1"/>
  <c r="C184" i="13" s="1"/>
  <c r="C185" i="13" s="1"/>
  <c r="C186" i="13" s="1"/>
  <c r="C187" i="13" s="1"/>
  <c r="C188" i="13" s="1"/>
  <c r="C189" i="13" s="1"/>
  <c r="C190" i="13" s="1"/>
  <c r="C191" i="13" s="1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C206" i="13" s="1"/>
  <c r="C207" i="13" s="1"/>
  <c r="C208" i="13" s="1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C223" i="13" s="1"/>
  <c r="C224" i="13" s="1"/>
  <c r="C225" i="13" s="1"/>
  <c r="C226" i="13" s="1"/>
  <c r="C227" i="13" s="1"/>
  <c r="C228" i="13" s="1"/>
  <c r="C229" i="13" s="1"/>
  <c r="C230" i="13" s="1"/>
  <c r="C231" i="13" s="1"/>
  <c r="C232" i="13" s="1"/>
  <c r="C233" i="13" s="1"/>
  <c r="C234" i="13" s="1"/>
  <c r="C235" i="13" s="1"/>
  <c r="C236" i="13" s="1"/>
  <c r="C237" i="13" s="1"/>
  <c r="C238" i="13" s="1"/>
  <c r="C239" i="13" s="1"/>
  <c r="C240" i="13" s="1"/>
  <c r="C241" i="13" s="1"/>
  <c r="C242" i="13" s="1"/>
  <c r="C243" i="13" s="1"/>
  <c r="C244" i="13" s="1"/>
  <c r="C245" i="13" s="1"/>
  <c r="C246" i="13" s="1"/>
  <c r="C247" i="13" s="1"/>
  <c r="C248" i="13" s="1"/>
  <c r="C249" i="13" s="1"/>
  <c r="C250" i="13" s="1"/>
  <c r="C251" i="13" s="1"/>
  <c r="C252" i="13" s="1"/>
  <c r="C253" i="13" s="1"/>
  <c r="C254" i="13" s="1"/>
  <c r="C255" i="13" s="1"/>
  <c r="C256" i="13" s="1"/>
  <c r="C257" i="13" s="1"/>
  <c r="C258" i="13" s="1"/>
  <c r="C259" i="13" s="1"/>
  <c r="C260" i="13" s="1"/>
  <c r="C261" i="13" s="1"/>
  <c r="C262" i="13" s="1"/>
  <c r="C263" i="13" s="1"/>
  <c r="C264" i="13" s="1"/>
  <c r="C265" i="13" s="1"/>
  <c r="C266" i="13" s="1"/>
  <c r="C267" i="13" s="1"/>
  <c r="C268" i="13" s="1"/>
  <c r="C269" i="13" s="1"/>
  <c r="C270" i="13" s="1"/>
  <c r="C271" i="13" s="1"/>
  <c r="C272" i="13" s="1"/>
  <c r="C273" i="13" s="1"/>
  <c r="C274" i="13" s="1"/>
  <c r="C275" i="13" s="1"/>
  <c r="C276" i="13" s="1"/>
  <c r="C277" i="13" s="1"/>
  <c r="C278" i="13" s="1"/>
  <c r="C279" i="13" s="1"/>
  <c r="C280" i="13" s="1"/>
  <c r="C281" i="13" s="1"/>
  <c r="C282" i="13" s="1"/>
  <c r="C283" i="13" s="1"/>
  <c r="C284" i="13" s="1"/>
  <c r="C285" i="13" s="1"/>
  <c r="C286" i="13" s="1"/>
  <c r="C287" i="13" s="1"/>
  <c r="C288" i="13" s="1"/>
  <c r="C289" i="13" s="1"/>
  <c r="C290" i="13" s="1"/>
  <c r="C291" i="13" s="1"/>
  <c r="C292" i="13" s="1"/>
  <c r="C293" i="13" s="1"/>
  <c r="C294" i="13" s="1"/>
  <c r="C295" i="13" s="1"/>
  <c r="C296" i="13" s="1"/>
  <c r="C297" i="13" s="1"/>
  <c r="C298" i="13" s="1"/>
  <c r="C299" i="13" s="1"/>
  <c r="C300" i="13" s="1"/>
  <c r="C301" i="13" s="1"/>
  <c r="C302" i="13" s="1"/>
  <c r="C303" i="13" s="1"/>
  <c r="C304" i="13" s="1"/>
  <c r="C305" i="13" s="1"/>
  <c r="C306" i="13" s="1"/>
  <c r="C307" i="13" s="1"/>
  <c r="C308" i="13" s="1"/>
  <c r="C309" i="13" s="1"/>
  <c r="C310" i="13" s="1"/>
  <c r="C311" i="13" s="1"/>
  <c r="C312" i="13" s="1"/>
  <c r="C313" i="13" s="1"/>
  <c r="C314" i="13" s="1"/>
  <c r="C315" i="13" s="1"/>
  <c r="C316" i="13" s="1"/>
  <c r="C317" i="13" s="1"/>
  <c r="C318" i="13" s="1"/>
  <c r="C319" i="13" s="1"/>
  <c r="C320" i="13" s="1"/>
  <c r="C321" i="13" s="1"/>
  <c r="C322" i="13" s="1"/>
  <c r="C323" i="13" s="1"/>
  <c r="C324" i="13" s="1"/>
  <c r="C325" i="13" s="1"/>
  <c r="C326" i="13" s="1"/>
  <c r="C327" i="13" s="1"/>
  <c r="C328" i="13" s="1"/>
  <c r="C329" i="13" s="1"/>
  <c r="C330" i="13" s="1"/>
  <c r="C331" i="13" s="1"/>
  <c r="C332" i="13" s="1"/>
  <c r="C333" i="13" s="1"/>
  <c r="C334" i="13" s="1"/>
  <c r="C335" i="13" s="1"/>
  <c r="C336" i="13" s="1"/>
  <c r="C337" i="13" s="1"/>
  <c r="C338" i="13" s="1"/>
  <c r="C339" i="13" s="1"/>
  <c r="C340" i="13" s="1"/>
  <c r="C341" i="13" s="1"/>
  <c r="C342" i="13" s="1"/>
  <c r="C343" i="13" s="1"/>
  <c r="C344" i="13" s="1"/>
  <c r="C345" i="13" s="1"/>
  <c r="C346" i="13" s="1"/>
  <c r="C347" i="13" s="1"/>
  <c r="C348" i="13" s="1"/>
  <c r="C349" i="13" s="1"/>
  <c r="C350" i="13" s="1"/>
  <c r="C351" i="13" s="1"/>
  <c r="C352" i="13" s="1"/>
  <c r="C353" i="13" s="1"/>
  <c r="C354" i="13" s="1"/>
  <c r="C355" i="13" s="1"/>
  <c r="C356" i="13" s="1"/>
  <c r="C357" i="13" s="1"/>
  <c r="C358" i="13" s="1"/>
  <c r="C359" i="13" s="1"/>
  <c r="C360" i="13" s="1"/>
  <c r="C361" i="13" s="1"/>
  <c r="C362" i="13" s="1"/>
  <c r="C363" i="13" s="1"/>
  <c r="C364" i="13" s="1"/>
  <c r="C365" i="13" s="1"/>
  <c r="C366" i="13" s="1"/>
  <c r="C367" i="13" s="1"/>
  <c r="C368" i="13" s="1"/>
  <c r="C369" i="13" s="1"/>
  <c r="C370" i="13" s="1"/>
  <c r="C371" i="13" s="1"/>
  <c r="C372" i="13" s="1"/>
  <c r="C373" i="13" s="1"/>
  <c r="C374" i="13" s="1"/>
  <c r="C375" i="13" s="1"/>
  <c r="C376" i="13" s="1"/>
  <c r="C377" i="13" s="1"/>
  <c r="C378" i="13" s="1"/>
  <c r="C379" i="13" s="1"/>
  <c r="C380" i="13" s="1"/>
  <c r="C381" i="13" s="1"/>
  <c r="C382" i="13" s="1"/>
  <c r="C383" i="13" s="1"/>
  <c r="C384" i="13" s="1"/>
  <c r="C385" i="13" s="1"/>
  <c r="C386" i="13" s="1"/>
  <c r="C387" i="13" s="1"/>
  <c r="C388" i="13" s="1"/>
  <c r="C389" i="13" s="1"/>
  <c r="C390" i="13" s="1"/>
  <c r="C391" i="13" s="1"/>
  <c r="C392" i="13" s="1"/>
  <c r="C393" i="13" s="1"/>
  <c r="C394" i="13" s="1"/>
  <c r="C395" i="13" s="1"/>
  <c r="C396" i="13" s="1"/>
  <c r="C397" i="13" s="1"/>
  <c r="C398" i="13" s="1"/>
  <c r="C399" i="13" s="1"/>
  <c r="C400" i="13" s="1"/>
  <c r="C401" i="13" s="1"/>
  <c r="C402" i="13" s="1"/>
  <c r="C403" i="13" s="1"/>
  <c r="C404" i="13" s="1"/>
  <c r="C405" i="13" s="1"/>
  <c r="C406" i="13" s="1"/>
  <c r="C407" i="13" s="1"/>
  <c r="C408" i="13" s="1"/>
  <c r="C409" i="13" s="1"/>
  <c r="C410" i="13" s="1"/>
  <c r="C411" i="13" s="1"/>
  <c r="C412" i="13" s="1"/>
  <c r="C413" i="13" s="1"/>
  <c r="C414" i="13" s="1"/>
  <c r="C415" i="13" s="1"/>
  <c r="C416" i="13" s="1"/>
  <c r="C417" i="13" s="1"/>
  <c r="C418" i="13" s="1"/>
  <c r="C419" i="13" s="1"/>
  <c r="C420" i="13" s="1"/>
  <c r="C421" i="13" s="1"/>
  <c r="C422" i="13" s="1"/>
  <c r="C423" i="13" s="1"/>
  <c r="C424" i="13" s="1"/>
  <c r="C425" i="13" s="1"/>
  <c r="C426" i="13" s="1"/>
  <c r="C427" i="13" s="1"/>
  <c r="C428" i="13" s="1"/>
  <c r="C429" i="13" s="1"/>
  <c r="C430" i="13" s="1"/>
  <c r="C431" i="13" s="1"/>
  <c r="C432" i="13" s="1"/>
  <c r="C433" i="13" s="1"/>
  <c r="C434" i="13" s="1"/>
  <c r="C435" i="13" s="1"/>
  <c r="C436" i="13" s="1"/>
  <c r="C437" i="13" s="1"/>
  <c r="C438" i="13" s="1"/>
  <c r="C439" i="13" s="1"/>
  <c r="C440" i="13" s="1"/>
  <c r="C441" i="13" s="1"/>
  <c r="C442" i="13" s="1"/>
  <c r="C443" i="13" s="1"/>
  <c r="C444" i="13" s="1"/>
  <c r="C445" i="13" s="1"/>
  <c r="C446" i="13" s="1"/>
  <c r="C447" i="13" s="1"/>
  <c r="C448" i="13" s="1"/>
  <c r="C449" i="13" s="1"/>
  <c r="C450" i="13" s="1"/>
  <c r="C451" i="13" s="1"/>
  <c r="C452" i="13" s="1"/>
  <c r="C453" i="13" s="1"/>
  <c r="C454" i="13" s="1"/>
  <c r="C455" i="13" s="1"/>
  <c r="C456" i="13" s="1"/>
  <c r="C457" i="13" s="1"/>
  <c r="C458" i="13" s="1"/>
  <c r="C459" i="13" s="1"/>
  <c r="C460" i="13" s="1"/>
  <c r="C461" i="13" s="1"/>
  <c r="C462" i="13" s="1"/>
  <c r="C463" i="13" s="1"/>
  <c r="C464" i="13" s="1"/>
  <c r="C465" i="13" s="1"/>
  <c r="C466" i="13" s="1"/>
  <c r="C467" i="13" s="1"/>
  <c r="C468" i="13" s="1"/>
  <c r="C469" i="13" s="1"/>
  <c r="C470" i="13" s="1"/>
  <c r="C471" i="13" s="1"/>
  <c r="C472" i="13" s="1"/>
  <c r="C473" i="13" s="1"/>
  <c r="C474" i="13" s="1"/>
  <c r="C475" i="13" s="1"/>
  <c r="C476" i="13" s="1"/>
  <c r="C477" i="13" s="1"/>
  <c r="C478" i="13" s="1"/>
  <c r="C479" i="13" s="1"/>
  <c r="C480" i="13" s="1"/>
  <c r="C481" i="13" s="1"/>
  <c r="C482" i="13" s="1"/>
  <c r="C483" i="13" s="1"/>
  <c r="C484" i="13" s="1"/>
  <c r="C485" i="13" s="1"/>
  <c r="C486" i="13" s="1"/>
  <c r="C487" i="13" s="1"/>
  <c r="C488" i="13" s="1"/>
  <c r="C489" i="13" s="1"/>
  <c r="C490" i="13" s="1"/>
  <c r="C491" i="13" s="1"/>
  <c r="C492" i="13" s="1"/>
  <c r="C493" i="13" s="1"/>
  <c r="C494" i="13" s="1"/>
  <c r="C495" i="13" s="1"/>
  <c r="C496" i="13" s="1"/>
  <c r="C497" i="13" s="1"/>
  <c r="C498" i="13" s="1"/>
  <c r="C499" i="13" s="1"/>
  <c r="C500" i="13" s="1"/>
  <c r="C501" i="13" s="1"/>
  <c r="C502" i="13" s="1"/>
  <c r="C503" i="13" s="1"/>
  <c r="C504" i="13" s="1"/>
  <c r="C505" i="13" s="1"/>
  <c r="C506" i="13" s="1"/>
  <c r="C507" i="13" s="1"/>
  <c r="C508" i="13" s="1"/>
  <c r="C509" i="13" s="1"/>
  <c r="C510" i="13" s="1"/>
  <c r="C511" i="13" s="1"/>
  <c r="C512" i="13" s="1"/>
  <c r="C513" i="13" s="1"/>
  <c r="C514" i="13" s="1"/>
  <c r="C515" i="13" s="1"/>
  <c r="C516" i="13" s="1"/>
  <c r="C517" i="13" s="1"/>
  <c r="C518" i="13" s="1"/>
  <c r="C519" i="13" s="1"/>
  <c r="C520" i="13" s="1"/>
  <c r="C521" i="13" s="1"/>
  <c r="C522" i="13" s="1"/>
  <c r="C523" i="13" s="1"/>
  <c r="C524" i="13" s="1"/>
  <c r="C525" i="13" s="1"/>
  <c r="C526" i="13" s="1"/>
  <c r="C527" i="13" s="1"/>
  <c r="C528" i="13" s="1"/>
  <c r="C529" i="13" s="1"/>
  <c r="C530" i="13" s="1"/>
  <c r="C531" i="13" s="1"/>
  <c r="C532" i="13" s="1"/>
  <c r="C533" i="13" s="1"/>
  <c r="C534" i="13" s="1"/>
  <c r="C535" i="13" s="1"/>
  <c r="C536" i="13" s="1"/>
  <c r="C537" i="13" s="1"/>
  <c r="C538" i="13" s="1"/>
  <c r="C539" i="13" s="1"/>
  <c r="C540" i="13" s="1"/>
  <c r="C541" i="13" s="1"/>
  <c r="C542" i="13" s="1"/>
  <c r="C543" i="13" s="1"/>
  <c r="C544" i="13" s="1"/>
  <c r="C545" i="13" s="1"/>
  <c r="C546" i="13" s="1"/>
  <c r="C547" i="13" s="1"/>
  <c r="C548" i="13" s="1"/>
  <c r="C549" i="13" s="1"/>
  <c r="C550" i="13" s="1"/>
  <c r="C551" i="13" s="1"/>
  <c r="C552" i="13" s="1"/>
  <c r="C553" i="13" s="1"/>
  <c r="C554" i="13" s="1"/>
  <c r="C555" i="13" s="1"/>
  <c r="C556" i="13" s="1"/>
  <c r="C557" i="13" s="1"/>
  <c r="C558" i="13" s="1"/>
  <c r="C559" i="13" s="1"/>
  <c r="C560" i="13" s="1"/>
  <c r="C561" i="13" s="1"/>
  <c r="C562" i="13" s="1"/>
  <c r="C563" i="13" s="1"/>
  <c r="C564" i="13" s="1"/>
  <c r="C565" i="13" s="1"/>
  <c r="C566" i="13" s="1"/>
  <c r="C567" i="13" s="1"/>
  <c r="C568" i="13" s="1"/>
  <c r="C569" i="13" s="1"/>
  <c r="C570" i="13" s="1"/>
  <c r="C571" i="13" s="1"/>
  <c r="C572" i="13" s="1"/>
  <c r="C573" i="13" s="1"/>
  <c r="C574" i="13" s="1"/>
  <c r="C575" i="13" s="1"/>
  <c r="C576" i="13" s="1"/>
  <c r="C577" i="13" s="1"/>
  <c r="C578" i="13" s="1"/>
  <c r="C579" i="13" s="1"/>
  <c r="C580" i="13" s="1"/>
  <c r="C581" i="13" s="1"/>
  <c r="C582" i="13" s="1"/>
  <c r="C583" i="13" s="1"/>
  <c r="C584" i="13" s="1"/>
  <c r="C585" i="13" s="1"/>
  <c r="C586" i="13" s="1"/>
  <c r="C587" i="13" s="1"/>
  <c r="C588" i="13" s="1"/>
  <c r="C589" i="13" s="1"/>
  <c r="C590" i="13" s="1"/>
  <c r="C591" i="13" s="1"/>
  <c r="C592" i="13" s="1"/>
  <c r="C593" i="13" s="1"/>
  <c r="C594" i="13" s="1"/>
  <c r="C595" i="13" s="1"/>
  <c r="C596" i="13" s="1"/>
  <c r="C597" i="13" s="1"/>
  <c r="C598" i="13" s="1"/>
  <c r="C599" i="13" s="1"/>
  <c r="C600" i="13" s="1"/>
  <c r="C601" i="13" s="1"/>
  <c r="C602" i="13" s="1"/>
  <c r="C603" i="13" s="1"/>
  <c r="C604" i="13" s="1"/>
  <c r="C605" i="13" s="1"/>
  <c r="C606" i="13" s="1"/>
  <c r="C607" i="13" s="1"/>
  <c r="C608" i="13" s="1"/>
  <c r="C609" i="13" s="1"/>
  <c r="C610" i="13" s="1"/>
  <c r="C611" i="13" s="1"/>
  <c r="AO10" i="13"/>
  <c r="AN10" i="13"/>
  <c r="AM10" i="13"/>
  <c r="AL10" i="13"/>
  <c r="AK10" i="13"/>
  <c r="AJ10" i="13"/>
  <c r="AI10" i="13"/>
  <c r="AH10" i="13"/>
  <c r="AG10" i="13"/>
  <c r="AF10" i="13"/>
  <c r="AU8" i="13"/>
  <c r="AT8" i="13"/>
  <c r="AS8" i="13"/>
  <c r="AO8" i="13"/>
  <c r="AN8" i="13"/>
  <c r="AM8" i="13"/>
  <c r="AL8" i="13"/>
  <c r="AK8" i="13"/>
  <c r="AJ8" i="13"/>
  <c r="AI8" i="13"/>
  <c r="AH8" i="13"/>
  <c r="AG8" i="13"/>
  <c r="AF8" i="13"/>
  <c r="U17" i="12"/>
  <c r="D63" i="17"/>
  <c r="D67" i="17"/>
  <c r="D71" i="17"/>
  <c r="D75" i="17"/>
  <c r="D79" i="17"/>
  <c r="D83" i="17"/>
  <c r="D87" i="17"/>
  <c r="D91" i="17"/>
  <c r="D95" i="17"/>
  <c r="D99" i="17"/>
  <c r="D103" i="17"/>
  <c r="D107" i="17"/>
  <c r="D111" i="17"/>
  <c r="D115" i="17"/>
  <c r="D119" i="17"/>
  <c r="D123" i="17"/>
  <c r="D127" i="17"/>
  <c r="D131" i="17"/>
  <c r="D135" i="17"/>
  <c r="D139" i="17"/>
  <c r="D143" i="17"/>
  <c r="D147" i="17"/>
  <c r="D151" i="17"/>
  <c r="D155" i="17"/>
  <c r="D159" i="17"/>
  <c r="D163" i="17"/>
  <c r="D167" i="17"/>
  <c r="D171" i="17"/>
  <c r="D175" i="17"/>
  <c r="D179" i="17"/>
  <c r="D183" i="17"/>
  <c r="D187" i="17"/>
  <c r="D191" i="17"/>
  <c r="D195" i="17"/>
  <c r="D199" i="17"/>
  <c r="D203" i="17"/>
  <c r="D207" i="17"/>
  <c r="D211" i="17"/>
  <c r="D215" i="17"/>
  <c r="D219" i="17"/>
  <c r="D223" i="17"/>
  <c r="D227" i="17"/>
  <c r="D231" i="17"/>
  <c r="D235" i="17"/>
  <c r="D239" i="17"/>
  <c r="D243" i="17"/>
  <c r="D247" i="17"/>
  <c r="D251" i="17"/>
  <c r="D255" i="17"/>
  <c r="D259" i="17"/>
  <c r="D263" i="17"/>
  <c r="D267" i="17"/>
  <c r="D271" i="17"/>
  <c r="D275" i="17"/>
  <c r="D279" i="17"/>
  <c r="D283" i="17"/>
  <c r="D287" i="17"/>
  <c r="D291" i="17"/>
  <c r="D295" i="17"/>
  <c r="D299" i="17"/>
  <c r="D303" i="17"/>
  <c r="D307" i="17"/>
  <c r="D311" i="17"/>
  <c r="D68" i="17"/>
  <c r="D76" i="17"/>
  <c r="D84" i="17"/>
  <c r="D92" i="17"/>
  <c r="D100" i="17"/>
  <c r="D108" i="17"/>
  <c r="D116" i="17"/>
  <c r="D124" i="17"/>
  <c r="D132" i="17"/>
  <c r="D140" i="17"/>
  <c r="D148" i="17"/>
  <c r="D156" i="17"/>
  <c r="D164" i="17"/>
  <c r="D172" i="17"/>
  <c r="D180" i="17"/>
  <c r="D188" i="17"/>
  <c r="D196" i="17"/>
  <c r="D204" i="17"/>
  <c r="D212" i="17"/>
  <c r="D220" i="17"/>
  <c r="D228" i="17"/>
  <c r="D236" i="17"/>
  <c r="D244" i="17"/>
  <c r="D252" i="17"/>
  <c r="D260" i="17"/>
  <c r="D268" i="17"/>
  <c r="D276" i="17"/>
  <c r="D284" i="17"/>
  <c r="D292" i="17"/>
  <c r="D300" i="17"/>
  <c r="D308" i="17"/>
  <c r="D314" i="17"/>
  <c r="D318" i="17"/>
  <c r="D322" i="17"/>
  <c r="D326" i="17"/>
  <c r="D330" i="17"/>
  <c r="D334" i="17"/>
  <c r="D338" i="17"/>
  <c r="D342" i="17"/>
  <c r="D346" i="17"/>
  <c r="D350" i="17"/>
  <c r="D354" i="17"/>
  <c r="D358" i="17"/>
  <c r="D362" i="17"/>
  <c r="D366" i="17"/>
  <c r="D370" i="17"/>
  <c r="D374" i="17"/>
  <c r="D378" i="17"/>
  <c r="D66" i="17"/>
  <c r="D74" i="17"/>
  <c r="D82" i="17"/>
  <c r="D90" i="17"/>
  <c r="D98" i="17"/>
  <c r="D106" i="17"/>
  <c r="D114" i="17"/>
  <c r="D122" i="17"/>
  <c r="D130" i="17"/>
  <c r="D138" i="17"/>
  <c r="D146" i="17"/>
  <c r="D154" i="17"/>
  <c r="D162" i="17"/>
  <c r="D170" i="17"/>
  <c r="D178" i="17"/>
  <c r="D186" i="17"/>
  <c r="D65" i="17"/>
  <c r="D73" i="17"/>
  <c r="D81" i="17"/>
  <c r="D89" i="17"/>
  <c r="D97" i="17"/>
  <c r="D105" i="17"/>
  <c r="D113" i="17"/>
  <c r="D121" i="17"/>
  <c r="D129" i="17"/>
  <c r="D137" i="17"/>
  <c r="D145" i="17"/>
  <c r="D153" i="17"/>
  <c r="D161" i="17"/>
  <c r="D169" i="17"/>
  <c r="D177" i="17"/>
  <c r="D185" i="17"/>
  <c r="D193" i="17"/>
  <c r="D201" i="17"/>
  <c r="D209" i="17"/>
  <c r="D217" i="17"/>
  <c r="D225" i="17"/>
  <c r="D233" i="17"/>
  <c r="D241" i="17"/>
  <c r="D249" i="17"/>
  <c r="D257" i="17"/>
  <c r="D265" i="17"/>
  <c r="D273" i="17"/>
  <c r="D281" i="17"/>
  <c r="D289" i="17"/>
  <c r="D297" i="17"/>
  <c r="D305" i="17"/>
  <c r="D64" i="17"/>
  <c r="D80" i="17"/>
  <c r="D96" i="17"/>
  <c r="D112" i="17"/>
  <c r="D128" i="17"/>
  <c r="D144" i="17"/>
  <c r="D160" i="17"/>
  <c r="D176" i="17"/>
  <c r="D192" i="17"/>
  <c r="D208" i="17"/>
  <c r="D224" i="17"/>
  <c r="D240" i="17"/>
  <c r="D256" i="17"/>
  <c r="D272" i="17"/>
  <c r="D288" i="17"/>
  <c r="D304" i="17"/>
  <c r="D316" i="17"/>
  <c r="D324" i="17"/>
  <c r="D332" i="17"/>
  <c r="D340" i="17"/>
  <c r="D348" i="17"/>
  <c r="D356" i="17"/>
  <c r="D364" i="17"/>
  <c r="D372" i="17"/>
  <c r="D62" i="17"/>
  <c r="D78" i="17"/>
  <c r="D94" i="17"/>
  <c r="D110" i="17"/>
  <c r="D126" i="17"/>
  <c r="D142" i="17"/>
  <c r="D158" i="17"/>
  <c r="D174" i="17"/>
  <c r="D190" i="17"/>
  <c r="D198" i="17"/>
  <c r="D206" i="17"/>
  <c r="D214" i="17"/>
  <c r="D222" i="17"/>
  <c r="D230" i="17"/>
  <c r="D238" i="17"/>
  <c r="D246" i="17"/>
  <c r="D254" i="17"/>
  <c r="D262" i="17"/>
  <c r="D270" i="17"/>
  <c r="D278" i="17"/>
  <c r="D286" i="17"/>
  <c r="D294" i="17"/>
  <c r="D302" i="17"/>
  <c r="D310" i="17"/>
  <c r="D315" i="17"/>
  <c r="D319" i="17"/>
  <c r="D323" i="17"/>
  <c r="D327" i="17"/>
  <c r="D331" i="17"/>
  <c r="D335" i="17"/>
  <c r="D339" i="17"/>
  <c r="D343" i="17"/>
  <c r="D347" i="17"/>
  <c r="D351" i="17"/>
  <c r="D355" i="17"/>
  <c r="D359" i="17"/>
  <c r="D363" i="17"/>
  <c r="D367" i="17"/>
  <c r="D371" i="17"/>
  <c r="D375" i="17"/>
  <c r="D379" i="17"/>
  <c r="D383" i="17"/>
  <c r="D387" i="17"/>
  <c r="D391" i="17"/>
  <c r="D395" i="17"/>
  <c r="D399" i="17"/>
  <c r="D403" i="17"/>
  <c r="D407" i="17"/>
  <c r="D411" i="17"/>
  <c r="D415" i="17"/>
  <c r="D419" i="17"/>
  <c r="D423" i="17"/>
  <c r="D427" i="17"/>
  <c r="D431" i="17"/>
  <c r="D435" i="17"/>
  <c r="D439" i="17"/>
  <c r="D384" i="17"/>
  <c r="D392" i="17"/>
  <c r="D400" i="17"/>
  <c r="D408" i="17"/>
  <c r="D416" i="17"/>
  <c r="D424" i="17"/>
  <c r="D432" i="17"/>
  <c r="D440" i="17"/>
  <c r="D444" i="17"/>
  <c r="D448" i="17"/>
  <c r="D452" i="17"/>
  <c r="D456" i="17"/>
  <c r="D460" i="17"/>
  <c r="D464" i="17"/>
  <c r="D468" i="17"/>
  <c r="D472" i="17"/>
  <c r="D476" i="17"/>
  <c r="D480" i="17"/>
  <c r="D484" i="17"/>
  <c r="D488" i="17"/>
  <c r="D492" i="17"/>
  <c r="D496" i="17"/>
  <c r="D500" i="17"/>
  <c r="D504" i="17"/>
  <c r="D508" i="17"/>
  <c r="D512" i="17"/>
  <c r="D516" i="17"/>
  <c r="D520" i="17"/>
  <c r="D524" i="17"/>
  <c r="D528" i="17"/>
  <c r="D532" i="17"/>
  <c r="D536" i="17"/>
  <c r="D540" i="17"/>
  <c r="D544" i="17"/>
  <c r="D548" i="17"/>
  <c r="D552" i="17"/>
  <c r="D556" i="17"/>
  <c r="D560" i="17"/>
  <c r="D564" i="17"/>
  <c r="D568" i="17"/>
  <c r="D572" i="17"/>
  <c r="D576" i="17"/>
  <c r="D580" i="17"/>
  <c r="D584" i="17"/>
  <c r="D588" i="17"/>
  <c r="D592" i="17"/>
  <c r="D596" i="17"/>
  <c r="D600" i="17"/>
  <c r="D604" i="17"/>
  <c r="D608" i="17"/>
  <c r="D382" i="17"/>
  <c r="D390" i="17"/>
  <c r="D398" i="17"/>
  <c r="D406" i="17"/>
  <c r="D414" i="17"/>
  <c r="D422" i="17"/>
  <c r="D430" i="17"/>
  <c r="D438" i="17"/>
  <c r="D443" i="17"/>
  <c r="D447" i="17"/>
  <c r="D451" i="17"/>
  <c r="D455" i="17"/>
  <c r="D459" i="17"/>
  <c r="D463" i="17"/>
  <c r="D467" i="17"/>
  <c r="D471" i="17"/>
  <c r="D475" i="17"/>
  <c r="D479" i="17"/>
  <c r="D483" i="17"/>
  <c r="D487" i="17"/>
  <c r="D491" i="17"/>
  <c r="D495" i="17"/>
  <c r="D499" i="17"/>
  <c r="D503" i="17"/>
  <c r="D507" i="17"/>
  <c r="D511" i="17"/>
  <c r="D515" i="17"/>
  <c r="D519" i="17"/>
  <c r="D523" i="17"/>
  <c r="D527" i="17"/>
  <c r="D531" i="17"/>
  <c r="D535" i="17"/>
  <c r="D539" i="17"/>
  <c r="D543" i="17"/>
  <c r="D547" i="17"/>
  <c r="D551" i="17"/>
  <c r="D555" i="17"/>
  <c r="D559" i="17"/>
  <c r="D563" i="17"/>
  <c r="D567" i="17"/>
  <c r="D571" i="17"/>
  <c r="D575" i="17"/>
  <c r="D579" i="17"/>
  <c r="D583" i="17"/>
  <c r="D587" i="17"/>
  <c r="D591" i="17"/>
  <c r="D595" i="17"/>
  <c r="D599" i="17"/>
  <c r="D603" i="17"/>
  <c r="D607" i="17"/>
  <c r="D61" i="17"/>
  <c r="D69" i="17"/>
  <c r="D77" i="17"/>
  <c r="D85" i="17"/>
  <c r="D93" i="17"/>
  <c r="D101" i="17"/>
  <c r="D109" i="17"/>
  <c r="D117" i="17"/>
  <c r="D125" i="17"/>
  <c r="D133" i="17"/>
  <c r="D141" i="17"/>
  <c r="D149" i="17"/>
  <c r="D157" i="17"/>
  <c r="D165" i="17"/>
  <c r="D173" i="17"/>
  <c r="D181" i="17"/>
  <c r="D189" i="17"/>
  <c r="D197" i="17"/>
  <c r="D205" i="17"/>
  <c r="D213" i="17"/>
  <c r="D221" i="17"/>
  <c r="D229" i="17"/>
  <c r="D237" i="17"/>
  <c r="D245" i="17"/>
  <c r="D253" i="17"/>
  <c r="D261" i="17"/>
  <c r="D269" i="17"/>
  <c r="D277" i="17"/>
  <c r="D285" i="17"/>
  <c r="D293" i="17"/>
  <c r="D301" i="17"/>
  <c r="D309" i="17"/>
  <c r="D72" i="17"/>
  <c r="D88" i="17"/>
  <c r="D104" i="17"/>
  <c r="D120" i="17"/>
  <c r="D136" i="17"/>
  <c r="D152" i="17"/>
  <c r="D168" i="17"/>
  <c r="D184" i="17"/>
  <c r="D200" i="17"/>
  <c r="D216" i="17"/>
  <c r="D232" i="17"/>
  <c r="D248" i="17"/>
  <c r="D280" i="17"/>
  <c r="D312" i="17"/>
  <c r="D328" i="17"/>
  <c r="D344" i="17"/>
  <c r="D360" i="17"/>
  <c r="D376" i="17"/>
  <c r="D86" i="17"/>
  <c r="D118" i="17"/>
  <c r="D150" i="17"/>
  <c r="D182" i="17"/>
  <c r="D202" i="17"/>
  <c r="D218" i="17"/>
  <c r="D234" i="17"/>
  <c r="D250" i="17"/>
  <c r="D266" i="17"/>
  <c r="D282" i="17"/>
  <c r="D298" i="17"/>
  <c r="D313" i="17"/>
  <c r="D321" i="17"/>
  <c r="D329" i="17"/>
  <c r="D337" i="17"/>
  <c r="D345" i="17"/>
  <c r="D353" i="17"/>
  <c r="D361" i="17"/>
  <c r="D369" i="17"/>
  <c r="D377" i="17"/>
  <c r="D385" i="17"/>
  <c r="D393" i="17"/>
  <c r="D401" i="17"/>
  <c r="D409" i="17"/>
  <c r="D417" i="17"/>
  <c r="D425" i="17"/>
  <c r="D433" i="17"/>
  <c r="D380" i="17"/>
  <c r="D396" i="17"/>
  <c r="D412" i="17"/>
  <c r="D428" i="17"/>
  <c r="D442" i="17"/>
  <c r="D450" i="17"/>
  <c r="D458" i="17"/>
  <c r="D466" i="17"/>
  <c r="D474" i="17"/>
  <c r="D482" i="17"/>
  <c r="D490" i="17"/>
  <c r="D498" i="17"/>
  <c r="D506" i="17"/>
  <c r="D514" i="17"/>
  <c r="D522" i="17"/>
  <c r="D530" i="17"/>
  <c r="D538" i="17"/>
  <c r="D546" i="17"/>
  <c r="D554" i="17"/>
  <c r="D562" i="17"/>
  <c r="D570" i="17"/>
  <c r="D578" i="17"/>
  <c r="D586" i="17"/>
  <c r="D594" i="17"/>
  <c r="D602" i="17"/>
  <c r="D610" i="17"/>
  <c r="D394" i="17"/>
  <c r="D410" i="17"/>
  <c r="D426" i="17"/>
  <c r="D441" i="17"/>
  <c r="D449" i="17"/>
  <c r="D457" i="17"/>
  <c r="D465" i="17"/>
  <c r="D473" i="17"/>
  <c r="D481" i="17"/>
  <c r="D489" i="17"/>
  <c r="D497" i="17"/>
  <c r="D505" i="17"/>
  <c r="D513" i="17"/>
  <c r="D521" i="17"/>
  <c r="D529" i="17"/>
  <c r="D537" i="17"/>
  <c r="D545" i="17"/>
  <c r="D553" i="17"/>
  <c r="D561" i="17"/>
  <c r="D569" i="17"/>
  <c r="D577" i="17"/>
  <c r="D585" i="17"/>
  <c r="D593" i="17"/>
  <c r="D601" i="17"/>
  <c r="D609" i="17"/>
  <c r="D264" i="17"/>
  <c r="D296" i="17"/>
  <c r="D320" i="17"/>
  <c r="D336" i="17"/>
  <c r="D352" i="17"/>
  <c r="D368" i="17"/>
  <c r="D70" i="17"/>
  <c r="D102" i="17"/>
  <c r="D134" i="17"/>
  <c r="D166" i="17"/>
  <c r="D194" i="17"/>
  <c r="D210" i="17"/>
  <c r="D226" i="17"/>
  <c r="D242" i="17"/>
  <c r="D258" i="17"/>
  <c r="D274" i="17"/>
  <c r="D290" i="17"/>
  <c r="D306" i="17"/>
  <c r="D317" i="17"/>
  <c r="D325" i="17"/>
  <c r="D333" i="17"/>
  <c r="D341" i="17"/>
  <c r="D349" i="17"/>
  <c r="D357" i="17"/>
  <c r="D365" i="17"/>
  <c r="D373" i="17"/>
  <c r="D381" i="17"/>
  <c r="D389" i="17"/>
  <c r="D397" i="17"/>
  <c r="D405" i="17"/>
  <c r="D413" i="17"/>
  <c r="D421" i="17"/>
  <c r="D429" i="17"/>
  <c r="D437" i="17"/>
  <c r="D388" i="17"/>
  <c r="D404" i="17"/>
  <c r="D420" i="17"/>
  <c r="D436" i="17"/>
  <c r="D446" i="17"/>
  <c r="D454" i="17"/>
  <c r="D462" i="17"/>
  <c r="D470" i="17"/>
  <c r="D478" i="17"/>
  <c r="D486" i="17"/>
  <c r="D494" i="17"/>
  <c r="D502" i="17"/>
  <c r="D510" i="17"/>
  <c r="D518" i="17"/>
  <c r="D526" i="17"/>
  <c r="D534" i="17"/>
  <c r="D542" i="17"/>
  <c r="D550" i="17"/>
  <c r="D558" i="17"/>
  <c r="D566" i="17"/>
  <c r="D574" i="17"/>
  <c r="D582" i="17"/>
  <c r="D590" i="17"/>
  <c r="D598" i="17"/>
  <c r="D606" i="17"/>
  <c r="D386" i="17"/>
  <c r="D402" i="17"/>
  <c r="D418" i="17"/>
  <c r="D434" i="17"/>
  <c r="D445" i="17"/>
  <c r="D453" i="17"/>
  <c r="D461" i="17"/>
  <c r="D469" i="17"/>
  <c r="D477" i="17"/>
  <c r="D485" i="17"/>
  <c r="D493" i="17"/>
  <c r="D501" i="17"/>
  <c r="D509" i="17"/>
  <c r="D517" i="17"/>
  <c r="D525" i="17"/>
  <c r="D533" i="17"/>
  <c r="D541" i="17"/>
  <c r="D549" i="17"/>
  <c r="D557" i="17"/>
  <c r="D565" i="17"/>
  <c r="D573" i="17"/>
  <c r="D581" i="17"/>
  <c r="D589" i="17"/>
  <c r="D597" i="17"/>
  <c r="D605" i="17"/>
  <c r="D47" i="14"/>
  <c r="D45" i="14"/>
  <c r="D43" i="14"/>
  <c r="D41" i="14"/>
  <c r="D39" i="14"/>
  <c r="R9" i="12"/>
  <c r="D46" i="12"/>
  <c r="D44" i="12"/>
  <c r="D42" i="12"/>
  <c r="D40" i="12"/>
  <c r="D38" i="12"/>
  <c r="R9" i="14"/>
  <c r="D46" i="14"/>
  <c r="D44" i="14"/>
  <c r="D42" i="14"/>
  <c r="D40" i="14"/>
  <c r="D38" i="14"/>
  <c r="D47" i="12"/>
  <c r="D45" i="12"/>
  <c r="D43" i="12"/>
  <c r="D41" i="12"/>
  <c r="D39" i="12"/>
  <c r="AG9" i="14" l="1"/>
  <c r="AG13" i="14" s="1"/>
  <c r="AS12" i="17"/>
  <c r="AG42" i="14"/>
  <c r="AG43" i="14"/>
  <c r="AG38" i="14"/>
  <c r="AG44" i="14"/>
  <c r="AG37" i="14"/>
  <c r="AG36" i="14"/>
  <c r="Q38" i="14" a="1"/>
  <c r="Q38" i="14" s="1"/>
  <c r="O17" i="14"/>
  <c r="AG34" i="14"/>
  <c r="AG21" i="14" a="1"/>
  <c r="AG21" i="14" s="1"/>
  <c r="A11" i="14"/>
  <c r="AG20" i="14" s="1"/>
  <c r="W18" i="14"/>
  <c r="AG27" i="14"/>
  <c r="AG33" i="14"/>
  <c r="AG26" i="14"/>
  <c r="E12" i="13"/>
  <c r="D62" i="13"/>
  <c r="D70" i="13"/>
  <c r="D78" i="13"/>
  <c r="D86" i="13"/>
  <c r="D94" i="13"/>
  <c r="D102" i="13"/>
  <c r="D110" i="13"/>
  <c r="D118" i="13"/>
  <c r="D126" i="13"/>
  <c r="D134" i="13"/>
  <c r="D142" i="13"/>
  <c r="D150" i="13"/>
  <c r="D158" i="13"/>
  <c r="D166" i="13"/>
  <c r="D174" i="13"/>
  <c r="D182" i="13"/>
  <c r="D190" i="13"/>
  <c r="D198" i="13"/>
  <c r="D206" i="13"/>
  <c r="D214" i="13"/>
  <c r="D222" i="13"/>
  <c r="D230" i="13"/>
  <c r="D238" i="13"/>
  <c r="D246" i="13"/>
  <c r="D254" i="13"/>
  <c r="D262" i="13"/>
  <c r="D270" i="13"/>
  <c r="D278" i="13"/>
  <c r="D286" i="13"/>
  <c r="D294" i="13"/>
  <c r="D302" i="13"/>
  <c r="D310" i="13"/>
  <c r="D63" i="13"/>
  <c r="D71" i="13"/>
  <c r="D79" i="13"/>
  <c r="D87" i="13"/>
  <c r="D95" i="13"/>
  <c r="D103" i="13"/>
  <c r="D111" i="13"/>
  <c r="D119" i="13"/>
  <c r="D127" i="13"/>
  <c r="D135" i="13"/>
  <c r="D143" i="13"/>
  <c r="D151" i="13"/>
  <c r="D159" i="13"/>
  <c r="D167" i="13"/>
  <c r="D175" i="13"/>
  <c r="D183" i="13"/>
  <c r="D191" i="13"/>
  <c r="D199" i="13"/>
  <c r="D207" i="13"/>
  <c r="D72" i="13"/>
  <c r="D88" i="13"/>
  <c r="D104" i="13"/>
  <c r="D120" i="13"/>
  <c r="D136" i="13"/>
  <c r="D152" i="13"/>
  <c r="D168" i="13"/>
  <c r="D184" i="13"/>
  <c r="D200" i="13"/>
  <c r="D216" i="13"/>
  <c r="D232" i="13"/>
  <c r="D248" i="13"/>
  <c r="D264" i="13"/>
  <c r="D280" i="13"/>
  <c r="D296" i="13"/>
  <c r="D312" i="13"/>
  <c r="D73" i="13"/>
  <c r="D89" i="13"/>
  <c r="D105" i="13"/>
  <c r="D121" i="13"/>
  <c r="D137" i="13"/>
  <c r="D153" i="13"/>
  <c r="D169" i="13"/>
  <c r="D185" i="13"/>
  <c r="D201" i="13"/>
  <c r="D66" i="13"/>
  <c r="D82" i="13"/>
  <c r="D98" i="13"/>
  <c r="D114" i="13"/>
  <c r="D130" i="13"/>
  <c r="D146" i="13"/>
  <c r="D162" i="13"/>
  <c r="D178" i="13"/>
  <c r="D194" i="13"/>
  <c r="D210" i="13"/>
  <c r="D226" i="13"/>
  <c r="D242" i="13"/>
  <c r="D258" i="13"/>
  <c r="D274" i="13"/>
  <c r="D290" i="13"/>
  <c r="D306" i="13"/>
  <c r="D67" i="13"/>
  <c r="D83" i="13"/>
  <c r="D99" i="13"/>
  <c r="D115" i="13"/>
  <c r="D131" i="13"/>
  <c r="D147" i="13"/>
  <c r="D163" i="13"/>
  <c r="D179" i="13"/>
  <c r="D195" i="13"/>
  <c r="D211" i="13"/>
  <c r="D80" i="13"/>
  <c r="D112" i="13"/>
  <c r="D144" i="13"/>
  <c r="D176" i="13"/>
  <c r="D208" i="13"/>
  <c r="D240" i="13"/>
  <c r="D272" i="13"/>
  <c r="D304" i="13"/>
  <c r="D81" i="13"/>
  <c r="D113" i="13"/>
  <c r="D145" i="13"/>
  <c r="D177" i="13"/>
  <c r="D209" i="13"/>
  <c r="D219" i="13"/>
  <c r="D227" i="13"/>
  <c r="D235" i="13"/>
  <c r="D243" i="13"/>
  <c r="D251" i="13"/>
  <c r="D259" i="13"/>
  <c r="D267" i="13"/>
  <c r="D275" i="13"/>
  <c r="D283" i="13"/>
  <c r="D291" i="13"/>
  <c r="D299" i="13"/>
  <c r="D307" i="13"/>
  <c r="D315" i="13"/>
  <c r="D323" i="13"/>
  <c r="D331" i="13"/>
  <c r="D339" i="13"/>
  <c r="D347" i="13"/>
  <c r="D355" i="13"/>
  <c r="D363" i="13"/>
  <c r="D371" i="13"/>
  <c r="D379" i="13"/>
  <c r="D387" i="13"/>
  <c r="D395" i="13"/>
  <c r="D403" i="13"/>
  <c r="D411" i="13"/>
  <c r="D419" i="13"/>
  <c r="D427" i="13"/>
  <c r="D435" i="13"/>
  <c r="D443" i="13"/>
  <c r="D451" i="13"/>
  <c r="D459" i="13"/>
  <c r="D467" i="13"/>
  <c r="D475" i="13"/>
  <c r="D483" i="13"/>
  <c r="D491" i="13"/>
  <c r="D499" i="13"/>
  <c r="D507" i="13"/>
  <c r="D515" i="13"/>
  <c r="D523" i="13"/>
  <c r="D531" i="13"/>
  <c r="D539" i="13"/>
  <c r="D547" i="13"/>
  <c r="D555" i="13"/>
  <c r="D563" i="13"/>
  <c r="D318" i="13"/>
  <c r="D326" i="13"/>
  <c r="D334" i="13"/>
  <c r="D342" i="13"/>
  <c r="D350" i="13"/>
  <c r="D358" i="13"/>
  <c r="D366" i="13"/>
  <c r="D374" i="13"/>
  <c r="D382" i="13"/>
  <c r="D390" i="13"/>
  <c r="D398" i="13"/>
  <c r="D406" i="13"/>
  <c r="D414" i="13"/>
  <c r="D422" i="13"/>
  <c r="D430" i="13"/>
  <c r="D438" i="13"/>
  <c r="D446" i="13"/>
  <c r="D454" i="13"/>
  <c r="D462" i="13"/>
  <c r="D92" i="13"/>
  <c r="D124" i="13"/>
  <c r="D156" i="13"/>
  <c r="D188" i="13"/>
  <c r="D220" i="13"/>
  <c r="D252" i="13"/>
  <c r="D284" i="13"/>
  <c r="D61" i="13"/>
  <c r="D93" i="13"/>
  <c r="D125" i="13"/>
  <c r="D157" i="13"/>
  <c r="D189" i="13"/>
  <c r="D217" i="13"/>
  <c r="D233" i="13"/>
  <c r="D249" i="13"/>
  <c r="D265" i="13"/>
  <c r="D281" i="13"/>
  <c r="D297" i="13"/>
  <c r="D313" i="13"/>
  <c r="D329" i="13"/>
  <c r="D345" i="13"/>
  <c r="D361" i="13"/>
  <c r="D377" i="13"/>
  <c r="D393" i="13"/>
  <c r="D409" i="13"/>
  <c r="D425" i="13"/>
  <c r="D441" i="13"/>
  <c r="D457" i="13"/>
  <c r="D473" i="13"/>
  <c r="D489" i="13"/>
  <c r="D505" i="13"/>
  <c r="D521" i="13"/>
  <c r="D537" i="13"/>
  <c r="D553" i="13"/>
  <c r="D316" i="13"/>
  <c r="D332" i="13"/>
  <c r="D348" i="13"/>
  <c r="D364" i="13"/>
  <c r="D380" i="13"/>
  <c r="D396" i="13"/>
  <c r="D412" i="13"/>
  <c r="D428" i="13"/>
  <c r="D444" i="13"/>
  <c r="D460" i="13"/>
  <c r="D472" i="13"/>
  <c r="D480" i="13"/>
  <c r="D488" i="13"/>
  <c r="D496" i="13"/>
  <c r="D504" i="13"/>
  <c r="D512" i="13"/>
  <c r="D520" i="13"/>
  <c r="D528" i="13"/>
  <c r="D536" i="13"/>
  <c r="D544" i="13"/>
  <c r="D552" i="13"/>
  <c r="D560" i="13"/>
  <c r="D568" i="13"/>
  <c r="D576" i="13"/>
  <c r="D584" i="13"/>
  <c r="D592" i="13"/>
  <c r="D600" i="13"/>
  <c r="D608" i="13"/>
  <c r="D573" i="13"/>
  <c r="D581" i="13"/>
  <c r="D589" i="13"/>
  <c r="D597" i="13"/>
  <c r="D605" i="13"/>
  <c r="D68" i="13"/>
  <c r="D100" i="13"/>
  <c r="D132" i="13"/>
  <c r="D164" i="13"/>
  <c r="D196" i="13"/>
  <c r="D228" i="13"/>
  <c r="D260" i="13"/>
  <c r="D292" i="13"/>
  <c r="D69" i="13"/>
  <c r="D101" i="13"/>
  <c r="D133" i="13"/>
  <c r="D165" i="13"/>
  <c r="D197" i="13"/>
  <c r="D221" i="13"/>
  <c r="D237" i="13"/>
  <c r="D253" i="13"/>
  <c r="D269" i="13"/>
  <c r="D285" i="13"/>
  <c r="D301" i="13"/>
  <c r="D317" i="13"/>
  <c r="D333" i="13"/>
  <c r="D349" i="13"/>
  <c r="D365" i="13"/>
  <c r="D381" i="13"/>
  <c r="D397" i="13"/>
  <c r="D413" i="13"/>
  <c r="D429" i="13"/>
  <c r="D445" i="13"/>
  <c r="D461" i="13"/>
  <c r="D477" i="13"/>
  <c r="D493" i="13"/>
  <c r="D509" i="13"/>
  <c r="D525" i="13"/>
  <c r="D541" i="13"/>
  <c r="D557" i="13"/>
  <c r="D320" i="13"/>
  <c r="D336" i="13"/>
  <c r="D352" i="13"/>
  <c r="D368" i="13"/>
  <c r="D384" i="13"/>
  <c r="D400" i="13"/>
  <c r="D416" i="13"/>
  <c r="D432" i="13"/>
  <c r="D448" i="13"/>
  <c r="D464" i="13"/>
  <c r="D474" i="13"/>
  <c r="D482" i="13"/>
  <c r="D490" i="13"/>
  <c r="D498" i="13"/>
  <c r="D506" i="13"/>
  <c r="D514" i="13"/>
  <c r="D522" i="13"/>
  <c r="D530" i="13"/>
  <c r="D538" i="13"/>
  <c r="D546" i="13"/>
  <c r="D554" i="13"/>
  <c r="D562" i="13"/>
  <c r="D570" i="13"/>
  <c r="D578" i="13"/>
  <c r="D586" i="13"/>
  <c r="D594" i="13"/>
  <c r="D602" i="13"/>
  <c r="D610" i="13"/>
  <c r="D575" i="13"/>
  <c r="D583" i="13"/>
  <c r="D591" i="13"/>
  <c r="D599" i="13"/>
  <c r="D607" i="13"/>
  <c r="D74" i="13"/>
  <c r="D90" i="13"/>
  <c r="D106" i="13"/>
  <c r="D122" i="13"/>
  <c r="D138" i="13"/>
  <c r="D154" i="13"/>
  <c r="D170" i="13"/>
  <c r="D186" i="13"/>
  <c r="D202" i="13"/>
  <c r="D218" i="13"/>
  <c r="D234" i="13"/>
  <c r="D250" i="13"/>
  <c r="D266" i="13"/>
  <c r="D282" i="13"/>
  <c r="D298" i="13"/>
  <c r="D314" i="13"/>
  <c r="D75" i="13"/>
  <c r="D91" i="13"/>
  <c r="D107" i="13"/>
  <c r="D123" i="13"/>
  <c r="D139" i="13"/>
  <c r="D155" i="13"/>
  <c r="D171" i="13"/>
  <c r="D187" i="13"/>
  <c r="D203" i="13"/>
  <c r="D64" i="13"/>
  <c r="D96" i="13"/>
  <c r="D128" i="13"/>
  <c r="D160" i="13"/>
  <c r="D192" i="13"/>
  <c r="D224" i="13"/>
  <c r="D256" i="13"/>
  <c r="D288" i="13"/>
  <c r="D65" i="13"/>
  <c r="D97" i="13"/>
  <c r="D129" i="13"/>
  <c r="D161" i="13"/>
  <c r="D193" i="13"/>
  <c r="D215" i="13"/>
  <c r="D223" i="13"/>
  <c r="D231" i="13"/>
  <c r="D239" i="13"/>
  <c r="D247" i="13"/>
  <c r="D255" i="13"/>
  <c r="D263" i="13"/>
  <c r="D271" i="13"/>
  <c r="D279" i="13"/>
  <c r="D287" i="13"/>
  <c r="D295" i="13"/>
  <c r="D303" i="13"/>
  <c r="D311" i="13"/>
  <c r="D319" i="13"/>
  <c r="D327" i="13"/>
  <c r="D335" i="13"/>
  <c r="D343" i="13"/>
  <c r="D351" i="13"/>
  <c r="D359" i="13"/>
  <c r="D375" i="13"/>
  <c r="D391" i="13"/>
  <c r="D407" i="13"/>
  <c r="D423" i="13"/>
  <c r="D439" i="13"/>
  <c r="D455" i="13"/>
  <c r="D471" i="13"/>
  <c r="D487" i="13"/>
  <c r="D503" i="13"/>
  <c r="D519" i="13"/>
  <c r="D535" i="13"/>
  <c r="D551" i="13"/>
  <c r="D567" i="13"/>
  <c r="D330" i="13"/>
  <c r="D346" i="13"/>
  <c r="D362" i="13"/>
  <c r="D378" i="13"/>
  <c r="D394" i="13"/>
  <c r="D410" i="13"/>
  <c r="D426" i="13"/>
  <c r="D442" i="13"/>
  <c r="D458" i="13"/>
  <c r="D108" i="13"/>
  <c r="D172" i="13"/>
  <c r="D236" i="13"/>
  <c r="D300" i="13"/>
  <c r="D109" i="13"/>
  <c r="D173" i="13"/>
  <c r="D225" i="13"/>
  <c r="D257" i="13"/>
  <c r="D289" i="13"/>
  <c r="D321" i="13"/>
  <c r="D353" i="13"/>
  <c r="D385" i="13"/>
  <c r="D417" i="13"/>
  <c r="D449" i="13"/>
  <c r="D481" i="13"/>
  <c r="D513" i="13"/>
  <c r="D545" i="13"/>
  <c r="D324" i="13"/>
  <c r="D356" i="13"/>
  <c r="D388" i="13"/>
  <c r="D420" i="13"/>
  <c r="D452" i="13"/>
  <c r="D476" i="13"/>
  <c r="D492" i="13"/>
  <c r="D508" i="13"/>
  <c r="D524" i="13"/>
  <c r="D540" i="13"/>
  <c r="D556" i="13"/>
  <c r="D572" i="13"/>
  <c r="D588" i="13"/>
  <c r="D604" i="13"/>
  <c r="D577" i="13"/>
  <c r="D593" i="13"/>
  <c r="D609" i="13"/>
  <c r="D84" i="13"/>
  <c r="D148" i="13"/>
  <c r="D212" i="13"/>
  <c r="D276" i="13"/>
  <c r="D85" i="13"/>
  <c r="D149" i="13"/>
  <c r="D213" i="13"/>
  <c r="D245" i="13"/>
  <c r="D277" i="13"/>
  <c r="D309" i="13"/>
  <c r="D341" i="13"/>
  <c r="D373" i="13"/>
  <c r="D405" i="13"/>
  <c r="D437" i="13"/>
  <c r="D469" i="13"/>
  <c r="D501" i="13"/>
  <c r="D533" i="13"/>
  <c r="D565" i="13"/>
  <c r="D344" i="13"/>
  <c r="D376" i="13"/>
  <c r="D408" i="13"/>
  <c r="D440" i="13"/>
  <c r="D470" i="13"/>
  <c r="D486" i="13"/>
  <c r="D502" i="13"/>
  <c r="D518" i="13"/>
  <c r="D534" i="13"/>
  <c r="D550" i="13"/>
  <c r="D566" i="13"/>
  <c r="D582" i="13"/>
  <c r="D598" i="13"/>
  <c r="D571" i="13"/>
  <c r="D587" i="13"/>
  <c r="D603" i="13"/>
  <c r="D367" i="13"/>
  <c r="D383" i="13"/>
  <c r="D399" i="13"/>
  <c r="D415" i="13"/>
  <c r="D431" i="13"/>
  <c r="D447" i="13"/>
  <c r="D463" i="13"/>
  <c r="D479" i="13"/>
  <c r="D495" i="13"/>
  <c r="D511" i="13"/>
  <c r="D527" i="13"/>
  <c r="D543" i="13"/>
  <c r="D559" i="13"/>
  <c r="D322" i="13"/>
  <c r="D338" i="13"/>
  <c r="D354" i="13"/>
  <c r="D370" i="13"/>
  <c r="D386" i="13"/>
  <c r="D402" i="13"/>
  <c r="D418" i="13"/>
  <c r="D434" i="13"/>
  <c r="D450" i="13"/>
  <c r="D466" i="13"/>
  <c r="D76" i="13"/>
  <c r="D140" i="13"/>
  <c r="D204" i="13"/>
  <c r="D268" i="13"/>
  <c r="D77" i="13"/>
  <c r="D141" i="13"/>
  <c r="D205" i="13"/>
  <c r="D241" i="13"/>
  <c r="D273" i="13"/>
  <c r="D305" i="13"/>
  <c r="D337" i="13"/>
  <c r="D369" i="13"/>
  <c r="D401" i="13"/>
  <c r="D433" i="13"/>
  <c r="D465" i="13"/>
  <c r="D497" i="13"/>
  <c r="D529" i="13"/>
  <c r="D561" i="13"/>
  <c r="D340" i="13"/>
  <c r="D372" i="13"/>
  <c r="D404" i="13"/>
  <c r="D436" i="13"/>
  <c r="D468" i="13"/>
  <c r="D484" i="13"/>
  <c r="D500" i="13"/>
  <c r="D516" i="13"/>
  <c r="D532" i="13"/>
  <c r="D548" i="13"/>
  <c r="D564" i="13"/>
  <c r="D580" i="13"/>
  <c r="D596" i="13"/>
  <c r="D569" i="13"/>
  <c r="D585" i="13"/>
  <c r="D601" i="13"/>
  <c r="D116" i="13"/>
  <c r="D180" i="13"/>
  <c r="D244" i="13"/>
  <c r="D308" i="13"/>
  <c r="D117" i="13"/>
  <c r="D181" i="13"/>
  <c r="D229" i="13"/>
  <c r="D261" i="13"/>
  <c r="D293" i="13"/>
  <c r="D325" i="13"/>
  <c r="D357" i="13"/>
  <c r="D389" i="13"/>
  <c r="D421" i="13"/>
  <c r="D453" i="13"/>
  <c r="D485" i="13"/>
  <c r="D517" i="13"/>
  <c r="D549" i="13"/>
  <c r="D328" i="13"/>
  <c r="D360" i="13"/>
  <c r="D392" i="13"/>
  <c r="D424" i="13"/>
  <c r="D456" i="13"/>
  <c r="D478" i="13"/>
  <c r="D494" i="13"/>
  <c r="D510" i="13"/>
  <c r="D526" i="13"/>
  <c r="D542" i="13"/>
  <c r="D558" i="13"/>
  <c r="D574" i="13"/>
  <c r="D590" i="13"/>
  <c r="D606" i="13"/>
  <c r="D579" i="13"/>
  <c r="D595" i="13"/>
  <c r="AT12" i="17"/>
  <c r="H12" i="17" l="1"/>
  <c r="AF12" i="17" s="1"/>
  <c r="E13" i="17" s="1"/>
  <c r="O9" i="14"/>
  <c r="AG23" i="14" s="1"/>
  <c r="AG24" i="14"/>
  <c r="AG41" i="14"/>
  <c r="W19" i="14"/>
  <c r="Q39" i="14" a="1"/>
  <c r="Q39" i="14" s="1"/>
  <c r="AF12" i="13"/>
  <c r="E13" i="13" s="1"/>
  <c r="AS13" i="17" l="1"/>
  <c r="AG40" i="14"/>
  <c r="AG18" i="14"/>
  <c r="AG31" i="14"/>
  <c r="Q40" i="14" a="1"/>
  <c r="Q40" i="14" s="1"/>
  <c r="W20" i="14"/>
  <c r="AF13" i="13"/>
  <c r="E14" i="13" s="1"/>
  <c r="AT13" i="17"/>
  <c r="H13" i="17" l="1"/>
  <c r="AF13" i="17" s="1"/>
  <c r="E14" i="17" s="1"/>
  <c r="W21" i="14"/>
  <c r="W22" i="14" s="1"/>
  <c r="Q41" i="14" a="1"/>
  <c r="Q41" i="14" s="1"/>
  <c r="AF14" i="13"/>
  <c r="E15" i="13" s="1"/>
  <c r="AS14" i="17" l="1"/>
  <c r="W23" i="14"/>
  <c r="W24" i="14" s="1"/>
  <c r="Q42" i="14" a="1"/>
  <c r="Q42" i="14" s="1"/>
  <c r="Q43" i="14" s="1" a="1"/>
  <c r="Q43" i="14" s="1"/>
  <c r="AF15" i="13"/>
  <c r="E16" i="13" s="1"/>
  <c r="AT14" i="17"/>
  <c r="H14" i="17" l="1"/>
  <c r="AF14" i="17" s="1"/>
  <c r="E15" i="17" s="1"/>
  <c r="W25" i="14"/>
  <c r="W26" i="14" s="1"/>
  <c r="W27" i="14" s="1"/>
  <c r="W28" i="14" s="1"/>
  <c r="Q44" i="14" a="1"/>
  <c r="Q44" i="14" s="1"/>
  <c r="Q45" i="14" s="1" a="1"/>
  <c r="Q45" i="14" s="1"/>
  <c r="Q46" i="14" s="1" a="1"/>
  <c r="Q46" i="14" s="1"/>
  <c r="Q47" i="14" s="1" a="1"/>
  <c r="Q47" i="14" s="1"/>
  <c r="AF16" i="13"/>
  <c r="E17" i="13" s="1"/>
  <c r="AS15" i="17" l="1"/>
  <c r="W29" i="14"/>
  <c r="W30" i="14" s="1"/>
  <c r="W31" i="14" s="1"/>
  <c r="W32" i="14" s="1"/>
  <c r="W33" i="14" s="1"/>
  <c r="W34" i="14" s="1"/>
  <c r="AF17" i="13"/>
  <c r="E18" i="13" s="1"/>
  <c r="AT15" i="17"/>
  <c r="H15" i="17" l="1"/>
  <c r="AF15" i="17" s="1"/>
  <c r="E16" i="17" s="1"/>
  <c r="AF18" i="13"/>
  <c r="E19" i="13" s="1"/>
  <c r="AS16" i="17" l="1"/>
  <c r="AF19" i="13"/>
  <c r="E20" i="13" s="1"/>
  <c r="AT16" i="17"/>
  <c r="H16" i="17" l="1"/>
  <c r="AF16" i="17" s="1"/>
  <c r="E17" i="17" s="1"/>
  <c r="AF20" i="13"/>
  <c r="E21" i="13" s="1"/>
  <c r="AS17" i="17" l="1"/>
  <c r="AF21" i="13"/>
  <c r="E22" i="13" s="1"/>
  <c r="AT17" i="17"/>
  <c r="H17" i="17" l="1"/>
  <c r="AF17" i="17" s="1"/>
  <c r="E18" i="17" s="1"/>
  <c r="AF22" i="13"/>
  <c r="E23" i="13" s="1"/>
  <c r="AS18" i="17" l="1"/>
  <c r="AF23" i="13"/>
  <c r="E24" i="13" s="1"/>
  <c r="AT18" i="17"/>
  <c r="H18" i="17" l="1"/>
  <c r="AF18" i="17" s="1"/>
  <c r="E19" i="17" s="1"/>
  <c r="AF24" i="13"/>
  <c r="E25" i="13" s="1"/>
  <c r="AS19" i="17" l="1"/>
  <c r="E26" i="13"/>
  <c r="AF25" i="13"/>
  <c r="AT19" i="17"/>
  <c r="H19" i="17" l="1"/>
  <c r="AF19" i="17" s="1"/>
  <c r="E20" i="17" s="1"/>
  <c r="E27" i="13"/>
  <c r="AF26" i="13"/>
  <c r="AS20" i="17" l="1"/>
  <c r="AF27" i="13"/>
  <c r="E28" i="13" s="1"/>
  <c r="AT20" i="17"/>
  <c r="H20" i="17" l="1"/>
  <c r="AF20" i="17" s="1"/>
  <c r="E21" i="17" s="1"/>
  <c r="E29" i="13"/>
  <c r="AF28" i="13"/>
  <c r="AS21" i="17" l="1"/>
  <c r="AF29" i="13"/>
  <c r="E30" i="13" s="1"/>
  <c r="AT21" i="17"/>
  <c r="H21" i="17" l="1"/>
  <c r="AF21" i="17" s="1"/>
  <c r="E22" i="17" s="1"/>
  <c r="AF30" i="13"/>
  <c r="E31" i="13" s="1"/>
  <c r="AS22" i="17" l="1"/>
  <c r="AF31" i="13"/>
  <c r="E32" i="13" s="1"/>
  <c r="AT22" i="17"/>
  <c r="H22" i="17" l="1"/>
  <c r="AF22" i="17" s="1"/>
  <c r="E23" i="17" s="1"/>
  <c r="AF32" i="13"/>
  <c r="E33" i="13" s="1"/>
  <c r="AS23" i="17" l="1"/>
  <c r="AF33" i="13"/>
  <c r="E34" i="13" s="1"/>
  <c r="AT23" i="17"/>
  <c r="H23" i="17" l="1"/>
  <c r="AF23" i="17" s="1"/>
  <c r="E24" i="17" s="1"/>
  <c r="AF34" i="13"/>
  <c r="E35" i="13" s="1"/>
  <c r="AS24" i="17" l="1"/>
  <c r="AF35" i="13"/>
  <c r="E36" i="13" s="1"/>
  <c r="AT24" i="17"/>
  <c r="H24" i="17" l="1"/>
  <c r="AF24" i="17" s="1"/>
  <c r="E25" i="17" s="1"/>
  <c r="AF36" i="13"/>
  <c r="E37" i="13" s="1"/>
  <c r="AS25" i="17" l="1"/>
  <c r="AF37" i="13"/>
  <c r="E38" i="13" s="1"/>
  <c r="AT25" i="17"/>
  <c r="H25" i="17" l="1"/>
  <c r="AF25" i="17" s="1"/>
  <c r="E26" i="17" s="1"/>
  <c r="AF38" i="13"/>
  <c r="E39" i="13" s="1"/>
  <c r="AS26" i="17" l="1"/>
  <c r="AF39" i="13"/>
  <c r="E40" i="13" s="1"/>
  <c r="AT26" i="17"/>
  <c r="H26" i="17" l="1"/>
  <c r="AF26" i="17" s="1"/>
  <c r="E27" i="17" s="1"/>
  <c r="AF40" i="13"/>
  <c r="E41" i="13" s="1"/>
  <c r="AS27" i="17" l="1"/>
  <c r="AF41" i="13"/>
  <c r="E42" i="13" s="1"/>
  <c r="AT27" i="17"/>
  <c r="H27" i="17" l="1"/>
  <c r="AF27" i="17" s="1"/>
  <c r="E28" i="17" s="1"/>
  <c r="AF42" i="13"/>
  <c r="E43" i="13" s="1"/>
  <c r="AS28" i="17" l="1"/>
  <c r="AF43" i="13"/>
  <c r="E44" i="13" s="1"/>
  <c r="AT28" i="17"/>
  <c r="H28" i="17" l="1"/>
  <c r="AF28" i="17" s="1"/>
  <c r="E29" i="17" s="1"/>
  <c r="AF44" i="13"/>
  <c r="E45" i="13" s="1"/>
  <c r="AS29" i="17" l="1"/>
  <c r="AF45" i="13"/>
  <c r="E46" i="13" s="1"/>
  <c r="AT29" i="17"/>
  <c r="H29" i="17" l="1"/>
  <c r="AF29" i="17" s="1"/>
  <c r="E30" i="17" s="1"/>
  <c r="AF46" i="13"/>
  <c r="E47" i="13" s="1"/>
  <c r="AS30" i="17" l="1"/>
  <c r="AF47" i="13"/>
  <c r="E48" i="13" s="1"/>
  <c r="AT30" i="17"/>
  <c r="H30" i="17" l="1"/>
  <c r="AF30" i="17" s="1"/>
  <c r="E31" i="17" s="1"/>
  <c r="AF48" i="13"/>
  <c r="E49" i="13" s="1"/>
  <c r="AS31" i="17" l="1"/>
  <c r="AF49" i="13"/>
  <c r="E50" i="13" s="1"/>
  <c r="AT31" i="17"/>
  <c r="H31" i="17" l="1"/>
  <c r="AF31" i="17" s="1"/>
  <c r="E32" i="17" s="1"/>
  <c r="AF50" i="13"/>
  <c r="E51" i="13" s="1"/>
  <c r="AS32" i="17" l="1"/>
  <c r="AF51" i="13"/>
  <c r="E52" i="13" s="1"/>
  <c r="AT32" i="17"/>
  <c r="H32" i="17" l="1"/>
  <c r="AF32" i="17" s="1"/>
  <c r="E33" i="17" s="1"/>
  <c r="AF52" i="13"/>
  <c r="E53" i="13" s="1"/>
  <c r="AS33" i="17" l="1"/>
  <c r="AF53" i="13"/>
  <c r="E54" i="13" s="1"/>
  <c r="AT33" i="17"/>
  <c r="H33" i="17" l="1"/>
  <c r="AF33" i="17" s="1"/>
  <c r="E34" i="17" s="1"/>
  <c r="AF54" i="13"/>
  <c r="E55" i="13" s="1"/>
  <c r="AS34" i="17" l="1"/>
  <c r="AF55" i="13"/>
  <c r="E56" i="13" s="1"/>
  <c r="AT34" i="17"/>
  <c r="H34" i="17" l="1"/>
  <c r="AF34" i="17" s="1"/>
  <c r="E35" i="17" s="1"/>
  <c r="AF56" i="13"/>
  <c r="E57" i="13" s="1"/>
  <c r="AS35" i="17" l="1"/>
  <c r="AF57" i="13"/>
  <c r="E58" i="13" s="1"/>
  <c r="AT35" i="17"/>
  <c r="H35" i="17" l="1"/>
  <c r="AF35" i="17" s="1"/>
  <c r="E36" i="17" s="1"/>
  <c r="AF58" i="13"/>
  <c r="E59" i="13" s="1"/>
  <c r="AS36" i="17" l="1"/>
  <c r="AF59" i="13"/>
  <c r="E60" i="13" s="1"/>
  <c r="AT36" i="17"/>
  <c r="H36" i="17" l="1"/>
  <c r="AF36" i="17" s="1"/>
  <c r="E37" i="17" s="1"/>
  <c r="E61" i="13"/>
  <c r="AF60" i="13"/>
  <c r="AS37" i="17" l="1"/>
  <c r="AF61" i="13"/>
  <c r="E62" i="13" s="1"/>
  <c r="AT37" i="17"/>
  <c r="H37" i="17" l="1"/>
  <c r="AF37" i="17" s="1"/>
  <c r="E38" i="17" s="1"/>
  <c r="AF62" i="13"/>
  <c r="E63" i="13" s="1"/>
  <c r="AS38" i="17" l="1"/>
  <c r="AF63" i="13"/>
  <c r="E64" i="13" s="1"/>
  <c r="AT38" i="17"/>
  <c r="H38" i="17" l="1"/>
  <c r="AF38" i="17" s="1"/>
  <c r="E39" i="17" s="1"/>
  <c r="AF64" i="13"/>
  <c r="E65" i="13" s="1"/>
  <c r="AS39" i="17" l="1"/>
  <c r="AF65" i="13"/>
  <c r="E66" i="13" s="1"/>
  <c r="AT39" i="17"/>
  <c r="H39" i="17" l="1"/>
  <c r="AF39" i="17" s="1"/>
  <c r="E40" i="17" s="1"/>
  <c r="AF66" i="13"/>
  <c r="E67" i="13" s="1"/>
  <c r="AS40" i="17" l="1"/>
  <c r="AF67" i="13"/>
  <c r="E68" i="13" s="1"/>
  <c r="AT40" i="17"/>
  <c r="H40" i="17" l="1"/>
  <c r="AF40" i="17" s="1"/>
  <c r="E41" i="17" s="1"/>
  <c r="AF68" i="13"/>
  <c r="E69" i="13" s="1"/>
  <c r="AS41" i="17" l="1"/>
  <c r="AF69" i="13"/>
  <c r="E70" i="13" s="1"/>
  <c r="AT41" i="17"/>
  <c r="H41" i="17" l="1"/>
  <c r="AF41" i="17" s="1"/>
  <c r="E42" i="17" s="1"/>
  <c r="AF70" i="13"/>
  <c r="E71" i="13" s="1"/>
  <c r="AS42" i="17" l="1"/>
  <c r="AF71" i="13"/>
  <c r="E72" i="13" s="1"/>
  <c r="AT42" i="17"/>
  <c r="H42" i="17" l="1"/>
  <c r="AF42" i="17" s="1"/>
  <c r="E43" i="17" s="1"/>
  <c r="AF72" i="13"/>
  <c r="E73" i="13" s="1"/>
  <c r="AS43" i="17" l="1"/>
  <c r="AF73" i="13"/>
  <c r="E74" i="13" s="1"/>
  <c r="AT43" i="17"/>
  <c r="H43" i="17" l="1"/>
  <c r="AF43" i="17" s="1"/>
  <c r="E44" i="17" s="1"/>
  <c r="AF74" i="13"/>
  <c r="E75" i="13" s="1"/>
  <c r="AS44" i="17" l="1"/>
  <c r="AF75" i="13"/>
  <c r="E76" i="13" s="1"/>
  <c r="AT44" i="17"/>
  <c r="H44" i="17" l="1"/>
  <c r="AF44" i="17" s="1"/>
  <c r="E45" i="17" s="1"/>
  <c r="AF76" i="13"/>
  <c r="E77" i="13" s="1"/>
  <c r="AS45" i="17" l="1"/>
  <c r="AF77" i="13"/>
  <c r="E78" i="13" s="1"/>
  <c r="AT45" i="17"/>
  <c r="H45" i="17" l="1"/>
  <c r="AF45" i="17" s="1"/>
  <c r="E46" i="17" s="1"/>
  <c r="AF78" i="13"/>
  <c r="E79" i="13" s="1"/>
  <c r="AS46" i="17" l="1"/>
  <c r="AF79" i="13"/>
  <c r="E80" i="13" s="1"/>
  <c r="AT46" i="17"/>
  <c r="H46" i="17" l="1"/>
  <c r="AF46" i="17" s="1"/>
  <c r="E47" i="17" s="1"/>
  <c r="AF80" i="13"/>
  <c r="E81" i="13" s="1"/>
  <c r="AS47" i="17" l="1"/>
  <c r="AF81" i="13"/>
  <c r="E82" i="13" s="1"/>
  <c r="AT47" i="17"/>
  <c r="H47" i="17" l="1"/>
  <c r="AF47" i="17" s="1"/>
  <c r="E48" i="17" s="1"/>
  <c r="AF82" i="13"/>
  <c r="E83" i="13" s="1"/>
  <c r="AS48" i="17" l="1"/>
  <c r="AF83" i="13"/>
  <c r="E84" i="13" s="1"/>
  <c r="AT48" i="17"/>
  <c r="H48" i="17" l="1"/>
  <c r="AF48" i="17" s="1"/>
  <c r="E49" i="17" s="1"/>
  <c r="AF84" i="13"/>
  <c r="E85" i="13" s="1"/>
  <c r="AS49" i="17" l="1"/>
  <c r="AF85" i="13"/>
  <c r="E86" i="13" s="1"/>
  <c r="AT49" i="17"/>
  <c r="H49" i="17" l="1"/>
  <c r="AF49" i="17" s="1"/>
  <c r="E50" i="17" s="1"/>
  <c r="AF86" i="13"/>
  <c r="E87" i="13" s="1"/>
  <c r="AS50" i="17" l="1"/>
  <c r="AF87" i="13"/>
  <c r="E88" i="13" s="1"/>
  <c r="AT50" i="17"/>
  <c r="H50" i="17" l="1"/>
  <c r="AF50" i="17" s="1"/>
  <c r="E51" i="17" s="1"/>
  <c r="AF88" i="13"/>
  <c r="E89" i="13" s="1"/>
  <c r="AS51" i="17" l="1"/>
  <c r="AF89" i="13"/>
  <c r="E90" i="13" s="1"/>
  <c r="AT51" i="17"/>
  <c r="H51" i="17" l="1"/>
  <c r="AF51" i="17" s="1"/>
  <c r="E52" i="17" s="1"/>
  <c r="AF90" i="13"/>
  <c r="E91" i="13" s="1"/>
  <c r="AS52" i="17" l="1"/>
  <c r="AF91" i="13"/>
  <c r="E92" i="13" s="1"/>
  <c r="AT52" i="17"/>
  <c r="H52" i="17" l="1"/>
  <c r="AF52" i="17" s="1"/>
  <c r="E53" i="17" s="1"/>
  <c r="AF92" i="13"/>
  <c r="E93" i="13" s="1"/>
  <c r="AS53" i="17" l="1"/>
  <c r="AF93" i="13"/>
  <c r="E94" i="13" s="1"/>
  <c r="AT53" i="17"/>
  <c r="H53" i="17" l="1"/>
  <c r="AF53" i="17" s="1"/>
  <c r="E54" i="17" s="1"/>
  <c r="AF94" i="13"/>
  <c r="E95" i="13" s="1"/>
  <c r="AS54" i="17" l="1"/>
  <c r="AF95" i="13"/>
  <c r="E96" i="13" s="1"/>
  <c r="AT54" i="17"/>
  <c r="H54" i="17" l="1"/>
  <c r="AF54" i="17" s="1"/>
  <c r="E55" i="17" s="1"/>
  <c r="AF96" i="13"/>
  <c r="E97" i="13" s="1"/>
  <c r="AS55" i="17" l="1"/>
  <c r="AF97" i="13"/>
  <c r="E98" i="13" s="1"/>
  <c r="AT55" i="17"/>
  <c r="H55" i="17" l="1"/>
  <c r="AF55" i="17" s="1"/>
  <c r="E56" i="17" s="1"/>
  <c r="AF98" i="13"/>
  <c r="E99" i="13" s="1"/>
  <c r="AS56" i="17" l="1"/>
  <c r="AF99" i="13"/>
  <c r="E100" i="13" s="1"/>
  <c r="AT56" i="17"/>
  <c r="H56" i="17" l="1"/>
  <c r="AF56" i="17" s="1"/>
  <c r="E57" i="17" s="1"/>
  <c r="AF100" i="13"/>
  <c r="E101" i="13" s="1"/>
  <c r="AS57" i="17" l="1"/>
  <c r="AF101" i="13"/>
  <c r="E102" i="13" s="1"/>
  <c r="AT57" i="17"/>
  <c r="H57" i="17" l="1"/>
  <c r="AF57" i="17" s="1"/>
  <c r="E58" i="17" s="1"/>
  <c r="AF102" i="13"/>
  <c r="E103" i="13" s="1"/>
  <c r="AS58" i="17" l="1"/>
  <c r="AF103" i="13"/>
  <c r="E104" i="13" s="1"/>
  <c r="AT58" i="17"/>
  <c r="H58" i="17" l="1"/>
  <c r="AF58" i="17" s="1"/>
  <c r="E59" i="17" s="1"/>
  <c r="AF104" i="13"/>
  <c r="E105" i="13" s="1"/>
  <c r="AS59" i="17" l="1"/>
  <c r="AF105" i="13"/>
  <c r="E106" i="13" s="1"/>
  <c r="AT59" i="17"/>
  <c r="H59" i="17" l="1"/>
  <c r="AF59" i="17" s="1"/>
  <c r="E60" i="17" s="1"/>
  <c r="AF106" i="13"/>
  <c r="E107" i="13" s="1"/>
  <c r="AS60" i="17" l="1"/>
  <c r="AF107" i="13"/>
  <c r="E108" i="13" s="1"/>
  <c r="AT60" i="17"/>
  <c r="H60" i="17" l="1"/>
  <c r="AF60" i="17" s="1"/>
  <c r="E61" i="17" s="1"/>
  <c r="AF108" i="13"/>
  <c r="E109" i="13" s="1"/>
  <c r="AS61" i="17" l="1"/>
  <c r="AF109" i="13"/>
  <c r="E110" i="13" s="1"/>
  <c r="AT61" i="17"/>
  <c r="H61" i="17" l="1"/>
  <c r="AF61" i="17" s="1"/>
  <c r="E62" i="17" s="1"/>
  <c r="AF110" i="13"/>
  <c r="E111" i="13" s="1"/>
  <c r="AS62" i="17" l="1"/>
  <c r="AF111" i="13"/>
  <c r="E112" i="13" s="1"/>
  <c r="AT62" i="17"/>
  <c r="H62" i="17" l="1"/>
  <c r="AF62" i="17" s="1"/>
  <c r="E63" i="17" s="1"/>
  <c r="AF112" i="13"/>
  <c r="E113" i="13" s="1"/>
  <c r="AS63" i="17" l="1"/>
  <c r="AF113" i="13"/>
  <c r="E114" i="13" s="1"/>
  <c r="AT63" i="17"/>
  <c r="H63" i="17" l="1"/>
  <c r="AF63" i="17" s="1"/>
  <c r="E64" i="17" s="1"/>
  <c r="AF114" i="13"/>
  <c r="E115" i="13" s="1"/>
  <c r="AS64" i="17" l="1"/>
  <c r="AF115" i="13"/>
  <c r="E116" i="13" s="1"/>
  <c r="AT64" i="17"/>
  <c r="H64" i="17" l="1"/>
  <c r="AF64" i="17" s="1"/>
  <c r="E65" i="17" s="1"/>
  <c r="AF116" i="13"/>
  <c r="E117" i="13" s="1"/>
  <c r="AS65" i="17" l="1"/>
  <c r="AF117" i="13"/>
  <c r="E118" i="13" s="1"/>
  <c r="AT65" i="17"/>
  <c r="H65" i="17" l="1"/>
  <c r="AF65" i="17" s="1"/>
  <c r="E66" i="17" s="1"/>
  <c r="AF118" i="13"/>
  <c r="E119" i="13" s="1"/>
  <c r="AS66" i="17" l="1"/>
  <c r="AF119" i="13"/>
  <c r="E120" i="13" s="1"/>
  <c r="AT66" i="17"/>
  <c r="H66" i="17" l="1"/>
  <c r="AF66" i="17" s="1"/>
  <c r="E67" i="17" s="1"/>
  <c r="AF120" i="13"/>
  <c r="E121" i="13" s="1"/>
  <c r="AS67" i="17" l="1"/>
  <c r="AF121" i="13"/>
  <c r="E122" i="13" s="1"/>
  <c r="AT67" i="17"/>
  <c r="H67" i="17" l="1"/>
  <c r="AF67" i="17" s="1"/>
  <c r="E68" i="17" s="1"/>
  <c r="AF122" i="13"/>
  <c r="E123" i="13" s="1"/>
  <c r="AS68" i="17" l="1"/>
  <c r="AF123" i="13"/>
  <c r="E124" i="13" s="1"/>
  <c r="AT68" i="17"/>
  <c r="H68" i="17" l="1"/>
  <c r="AF68" i="17" s="1"/>
  <c r="E69" i="17" s="1"/>
  <c r="AF124" i="13"/>
  <c r="E125" i="13" s="1"/>
  <c r="AS69" i="17" l="1"/>
  <c r="AF125" i="13"/>
  <c r="E126" i="13" s="1"/>
  <c r="AT69" i="17"/>
  <c r="H69" i="17" l="1"/>
  <c r="AF69" i="17" s="1"/>
  <c r="E70" i="17" s="1"/>
  <c r="AF126" i="13"/>
  <c r="E127" i="13" s="1"/>
  <c r="AS70" i="17" l="1"/>
  <c r="AF127" i="13"/>
  <c r="E128" i="13" s="1"/>
  <c r="AT70" i="17"/>
  <c r="H70" i="17" l="1"/>
  <c r="AF70" i="17" s="1"/>
  <c r="E71" i="17" s="1"/>
  <c r="AF128" i="13"/>
  <c r="E129" i="13" s="1"/>
  <c r="AS71" i="17" l="1"/>
  <c r="AF129" i="13"/>
  <c r="E130" i="13" s="1"/>
  <c r="AT71" i="17"/>
  <c r="H71" i="17" l="1"/>
  <c r="AF71" i="17" s="1"/>
  <c r="E72" i="17" s="1"/>
  <c r="AF130" i="13"/>
  <c r="E131" i="13" s="1"/>
  <c r="AS72" i="17" l="1"/>
  <c r="AF131" i="13"/>
  <c r="E132" i="13" s="1"/>
  <c r="AT72" i="17"/>
  <c r="H72" i="17" l="1"/>
  <c r="AF72" i="17" s="1"/>
  <c r="E73" i="17" s="1"/>
  <c r="AF132" i="13"/>
  <c r="E133" i="13" s="1"/>
  <c r="AS73" i="17" l="1"/>
  <c r="AF133" i="13"/>
  <c r="E134" i="13" s="1"/>
  <c r="AT73" i="17"/>
  <c r="H73" i="17" l="1"/>
  <c r="AF73" i="17" s="1"/>
  <c r="E74" i="17" s="1"/>
  <c r="AF134" i="13"/>
  <c r="E135" i="13" s="1"/>
  <c r="AS74" i="17" l="1"/>
  <c r="AF135" i="13"/>
  <c r="E136" i="13" s="1"/>
  <c r="AT74" i="17"/>
  <c r="H74" i="17" l="1"/>
  <c r="AF74" i="17" s="1"/>
  <c r="E75" i="17" s="1"/>
  <c r="AF136" i="13"/>
  <c r="E137" i="13" s="1"/>
  <c r="AS75" i="17" l="1"/>
  <c r="AF137" i="13"/>
  <c r="E138" i="13" s="1"/>
  <c r="AT75" i="17"/>
  <c r="H75" i="17" l="1"/>
  <c r="AF75" i="17" s="1"/>
  <c r="E76" i="17" s="1"/>
  <c r="AF138" i="13"/>
  <c r="E139" i="13" s="1"/>
  <c r="AS76" i="17" l="1"/>
  <c r="AF139" i="13"/>
  <c r="E140" i="13" s="1"/>
  <c r="AT76" i="17"/>
  <c r="H76" i="17" l="1"/>
  <c r="AF76" i="17" s="1"/>
  <c r="E77" i="17" s="1"/>
  <c r="AF140" i="13"/>
  <c r="E141" i="13" s="1"/>
  <c r="AS77" i="17" l="1"/>
  <c r="AF141" i="13"/>
  <c r="E142" i="13" s="1"/>
  <c r="AT77" i="17"/>
  <c r="H77" i="17" l="1"/>
  <c r="AF77" i="17" s="1"/>
  <c r="E78" i="17" s="1"/>
  <c r="AF142" i="13"/>
  <c r="E143" i="13" s="1"/>
  <c r="AS78" i="17" l="1"/>
  <c r="AF143" i="13"/>
  <c r="E144" i="13" s="1"/>
  <c r="AT78" i="17"/>
  <c r="H78" i="17" l="1"/>
  <c r="AF78" i="17" s="1"/>
  <c r="E79" i="17" s="1"/>
  <c r="AF144" i="13"/>
  <c r="E145" i="13" s="1"/>
  <c r="AS79" i="17" l="1"/>
  <c r="AF145" i="13"/>
  <c r="E146" i="13" s="1"/>
  <c r="AT79" i="17"/>
  <c r="H79" i="17" l="1"/>
  <c r="AF79" i="17" s="1"/>
  <c r="E80" i="17" s="1"/>
  <c r="AF146" i="13"/>
  <c r="E147" i="13" s="1"/>
  <c r="AS80" i="17" l="1"/>
  <c r="AF147" i="13"/>
  <c r="E148" i="13" s="1"/>
  <c r="AT80" i="17"/>
  <c r="H80" i="17" l="1"/>
  <c r="AF80" i="17" s="1"/>
  <c r="E81" i="17" s="1"/>
  <c r="AF148" i="13"/>
  <c r="E149" i="13" s="1"/>
  <c r="AS81" i="17" l="1"/>
  <c r="AF149" i="13"/>
  <c r="E150" i="13" s="1"/>
  <c r="AT81" i="17"/>
  <c r="H81" i="17" l="1"/>
  <c r="AF81" i="17" s="1"/>
  <c r="E82" i="17" s="1"/>
  <c r="AF150" i="13"/>
  <c r="E151" i="13" s="1"/>
  <c r="AS82" i="17" l="1"/>
  <c r="AF151" i="13"/>
  <c r="E152" i="13" s="1"/>
  <c r="AT82" i="17"/>
  <c r="H82" i="17" l="1"/>
  <c r="AF82" i="17" s="1"/>
  <c r="E83" i="17" s="1"/>
  <c r="AF152" i="13"/>
  <c r="E153" i="13" s="1"/>
  <c r="AS83" i="17" l="1"/>
  <c r="AF153" i="13"/>
  <c r="E154" i="13" s="1"/>
  <c r="AT83" i="17"/>
  <c r="H83" i="17" l="1"/>
  <c r="AF83" i="17" s="1"/>
  <c r="E84" i="17" s="1"/>
  <c r="AF154" i="13"/>
  <c r="E155" i="13" s="1"/>
  <c r="AS84" i="17" l="1"/>
  <c r="AF155" i="13"/>
  <c r="E156" i="13" s="1"/>
  <c r="AT84" i="17"/>
  <c r="H84" i="17" l="1"/>
  <c r="AF84" i="17" s="1"/>
  <c r="E85" i="17" s="1"/>
  <c r="AF156" i="13"/>
  <c r="E157" i="13" s="1"/>
  <c r="AS85" i="17" l="1"/>
  <c r="AF157" i="13"/>
  <c r="E158" i="13" s="1"/>
  <c r="AT85" i="17"/>
  <c r="H85" i="17" l="1"/>
  <c r="AF85" i="17" s="1"/>
  <c r="E86" i="17" s="1"/>
  <c r="AF158" i="13"/>
  <c r="E159" i="13" s="1"/>
  <c r="AS86" i="17" l="1"/>
  <c r="AF159" i="13"/>
  <c r="E160" i="13" s="1"/>
  <c r="AT86" i="17"/>
  <c r="H86" i="17" l="1"/>
  <c r="AF86" i="17" s="1"/>
  <c r="E87" i="17" s="1"/>
  <c r="AF160" i="13"/>
  <c r="E161" i="13" s="1"/>
  <c r="AS87" i="17" l="1"/>
  <c r="AF161" i="13"/>
  <c r="E162" i="13" s="1"/>
  <c r="AT87" i="17"/>
  <c r="H87" i="17" l="1"/>
  <c r="AF87" i="17" s="1"/>
  <c r="E88" i="17" s="1"/>
  <c r="AF162" i="13"/>
  <c r="E163" i="13" s="1"/>
  <c r="AS88" i="17" l="1"/>
  <c r="AF163" i="13"/>
  <c r="E164" i="13" s="1"/>
  <c r="AT88" i="17"/>
  <c r="H88" i="17" l="1"/>
  <c r="AF88" i="17" s="1"/>
  <c r="E89" i="17" s="1"/>
  <c r="AF164" i="13"/>
  <c r="E165" i="13" s="1"/>
  <c r="AS89" i="17" l="1"/>
  <c r="AF165" i="13"/>
  <c r="E166" i="13" s="1"/>
  <c r="AT89" i="17"/>
  <c r="H89" i="17" l="1"/>
  <c r="AF89" i="17" s="1"/>
  <c r="E90" i="17" s="1"/>
  <c r="AF166" i="13"/>
  <c r="E167" i="13" s="1"/>
  <c r="AS90" i="17" l="1"/>
  <c r="AF167" i="13"/>
  <c r="E168" i="13" s="1"/>
  <c r="AT90" i="17"/>
  <c r="H90" i="17" l="1"/>
  <c r="AF90" i="17" s="1"/>
  <c r="E91" i="17" s="1"/>
  <c r="AF168" i="13"/>
  <c r="E169" i="13" s="1"/>
  <c r="AS91" i="17" l="1"/>
  <c r="AF169" i="13"/>
  <c r="E170" i="13" s="1"/>
  <c r="AT91" i="17"/>
  <c r="H91" i="17" l="1"/>
  <c r="AF91" i="17" s="1"/>
  <c r="E92" i="17" s="1"/>
  <c r="AF170" i="13"/>
  <c r="E171" i="13" s="1"/>
  <c r="AS92" i="17" l="1"/>
  <c r="AF171" i="13"/>
  <c r="E172" i="13" s="1"/>
  <c r="AT92" i="17"/>
  <c r="H92" i="17" l="1"/>
  <c r="AF92" i="17" s="1"/>
  <c r="E93" i="17" s="1"/>
  <c r="AF172" i="13"/>
  <c r="E173" i="13" s="1"/>
  <c r="AS93" i="17" l="1"/>
  <c r="AF173" i="13"/>
  <c r="E174" i="13" s="1"/>
  <c r="AT93" i="17"/>
  <c r="H93" i="17" l="1"/>
  <c r="AF93" i="17" s="1"/>
  <c r="E94" i="17" s="1"/>
  <c r="AF174" i="13"/>
  <c r="E175" i="13" s="1"/>
  <c r="AS94" i="17" l="1"/>
  <c r="AF175" i="13"/>
  <c r="E176" i="13" s="1"/>
  <c r="AT94" i="17"/>
  <c r="H94" i="17" l="1"/>
  <c r="AF94" i="17" s="1"/>
  <c r="E95" i="17" s="1"/>
  <c r="AF176" i="13"/>
  <c r="E177" i="13" s="1"/>
  <c r="AS95" i="17" l="1"/>
  <c r="AF177" i="13"/>
  <c r="E178" i="13" s="1"/>
  <c r="AT95" i="17"/>
  <c r="H95" i="17" l="1"/>
  <c r="AF95" i="17" s="1"/>
  <c r="E96" i="17" s="1"/>
  <c r="AF178" i="13"/>
  <c r="E179" i="13" s="1"/>
  <c r="AS96" i="17" l="1"/>
  <c r="AF179" i="13"/>
  <c r="E180" i="13" s="1"/>
  <c r="AT96" i="17"/>
  <c r="H96" i="17" l="1"/>
  <c r="AF96" i="17" s="1"/>
  <c r="E97" i="17" s="1"/>
  <c r="AF180" i="13"/>
  <c r="E181" i="13" s="1"/>
  <c r="AS97" i="17" l="1"/>
  <c r="AF181" i="13"/>
  <c r="E182" i="13" s="1"/>
  <c r="AT97" i="17"/>
  <c r="H97" i="17" l="1"/>
  <c r="AF97" i="17" s="1"/>
  <c r="E98" i="17" s="1"/>
  <c r="AF182" i="13"/>
  <c r="E183" i="13" s="1"/>
  <c r="AS98" i="17" l="1"/>
  <c r="AF183" i="13"/>
  <c r="E184" i="13" s="1"/>
  <c r="AT98" i="17"/>
  <c r="H98" i="17" l="1"/>
  <c r="AF98" i="17" s="1"/>
  <c r="E99" i="17" s="1"/>
  <c r="AF184" i="13"/>
  <c r="E185" i="13" s="1"/>
  <c r="AS99" i="17" l="1"/>
  <c r="AF185" i="13"/>
  <c r="E186" i="13" s="1"/>
  <c r="AT99" i="17"/>
  <c r="H99" i="17" l="1"/>
  <c r="AF99" i="17" s="1"/>
  <c r="E100" i="17" s="1"/>
  <c r="AF186" i="13"/>
  <c r="E187" i="13" s="1"/>
  <c r="AS100" i="17" l="1"/>
  <c r="AF187" i="13"/>
  <c r="E188" i="13" s="1"/>
  <c r="AT100" i="17"/>
  <c r="H100" i="17" l="1"/>
  <c r="AF100" i="17" s="1"/>
  <c r="E101" i="17" s="1"/>
  <c r="AF188" i="13"/>
  <c r="E189" i="13" s="1"/>
  <c r="AS101" i="17" l="1"/>
  <c r="AF189" i="13"/>
  <c r="E190" i="13" s="1"/>
  <c r="AT101" i="17"/>
  <c r="H101" i="17" l="1"/>
  <c r="AF101" i="17" s="1"/>
  <c r="E102" i="17" s="1"/>
  <c r="AF190" i="13"/>
  <c r="E191" i="13" s="1"/>
  <c r="AS102" i="17" l="1"/>
  <c r="AF191" i="13"/>
  <c r="E192" i="13" s="1"/>
  <c r="AT102" i="17"/>
  <c r="H102" i="17" l="1"/>
  <c r="AF102" i="17" s="1"/>
  <c r="E103" i="17" s="1"/>
  <c r="AF192" i="13"/>
  <c r="E193" i="13" s="1"/>
  <c r="AS103" i="17" l="1"/>
  <c r="AF193" i="13"/>
  <c r="E194" i="13" s="1"/>
  <c r="AT103" i="17"/>
  <c r="H103" i="17" l="1"/>
  <c r="AF103" i="17" s="1"/>
  <c r="E104" i="17" s="1"/>
  <c r="AF194" i="13"/>
  <c r="E195" i="13" s="1"/>
  <c r="AS104" i="17" l="1"/>
  <c r="AF195" i="13"/>
  <c r="E196" i="13" s="1"/>
  <c r="AT104" i="17"/>
  <c r="H104" i="17" l="1"/>
  <c r="AF104" i="17" s="1"/>
  <c r="E105" i="17" s="1"/>
  <c r="AF196" i="13"/>
  <c r="E197" i="13" s="1"/>
  <c r="AS105" i="17" l="1"/>
  <c r="AF197" i="13"/>
  <c r="E198" i="13" s="1"/>
  <c r="AT105" i="17"/>
  <c r="H105" i="17" l="1"/>
  <c r="AF105" i="17" s="1"/>
  <c r="E106" i="17" s="1"/>
  <c r="AF198" i="13"/>
  <c r="E199" i="13" s="1"/>
  <c r="AS106" i="17" l="1"/>
  <c r="AF199" i="13"/>
  <c r="E200" i="13" s="1"/>
  <c r="AT106" i="17"/>
  <c r="H106" i="17" l="1"/>
  <c r="AF106" i="17" s="1"/>
  <c r="E107" i="17" s="1"/>
  <c r="AF200" i="13"/>
  <c r="E201" i="13" s="1"/>
  <c r="AS107" i="17" l="1"/>
  <c r="AF201" i="13"/>
  <c r="E202" i="13" s="1"/>
  <c r="AT107" i="17"/>
  <c r="H107" i="17" l="1"/>
  <c r="AF107" i="17" s="1"/>
  <c r="E108" i="17" s="1"/>
  <c r="AF202" i="13"/>
  <c r="E203" i="13" s="1"/>
  <c r="AS108" i="17" l="1"/>
  <c r="AF203" i="13"/>
  <c r="E204" i="13" s="1"/>
  <c r="AT108" i="17"/>
  <c r="H108" i="17" l="1"/>
  <c r="AF108" i="17" s="1"/>
  <c r="E109" i="17" s="1"/>
  <c r="AF204" i="13"/>
  <c r="E205" i="13" s="1"/>
  <c r="AS109" i="17" l="1"/>
  <c r="AF205" i="13"/>
  <c r="E206" i="13" s="1"/>
  <c r="AT109" i="17"/>
  <c r="H109" i="17" l="1"/>
  <c r="AF109" i="17" s="1"/>
  <c r="E110" i="17" s="1"/>
  <c r="AF206" i="13"/>
  <c r="E207" i="13" s="1"/>
  <c r="AS110" i="17" l="1"/>
  <c r="AF207" i="13"/>
  <c r="E208" i="13" s="1"/>
  <c r="AT110" i="17"/>
  <c r="H110" i="17" l="1"/>
  <c r="AF110" i="17" s="1"/>
  <c r="E111" i="17" s="1"/>
  <c r="AF208" i="13"/>
  <c r="E209" i="13" s="1"/>
  <c r="AS111" i="17" l="1"/>
  <c r="AF209" i="13"/>
  <c r="E210" i="13" s="1"/>
  <c r="AT111" i="17"/>
  <c r="H111" i="17" l="1"/>
  <c r="AF111" i="17" s="1"/>
  <c r="E112" i="17" s="1"/>
  <c r="AF210" i="13"/>
  <c r="E211" i="13" s="1"/>
  <c r="AS112" i="17" l="1"/>
  <c r="AF211" i="13"/>
  <c r="E212" i="13" s="1"/>
  <c r="AT112" i="17"/>
  <c r="H112" i="17" l="1"/>
  <c r="AF112" i="17" s="1"/>
  <c r="E113" i="17" s="1"/>
  <c r="AF212" i="13"/>
  <c r="E213" i="13" s="1"/>
  <c r="AS113" i="17" l="1"/>
  <c r="AF213" i="13"/>
  <c r="E214" i="13" s="1"/>
  <c r="AT113" i="17"/>
  <c r="H113" i="17" l="1"/>
  <c r="AF113" i="17" s="1"/>
  <c r="E114" i="17" s="1"/>
  <c r="AF214" i="13"/>
  <c r="E215" i="13" s="1"/>
  <c r="AS114" i="17" l="1"/>
  <c r="AF215" i="13"/>
  <c r="E216" i="13" s="1"/>
  <c r="AT114" i="17"/>
  <c r="H114" i="17" l="1"/>
  <c r="AF114" i="17" s="1"/>
  <c r="E115" i="17" s="1"/>
  <c r="AF216" i="13"/>
  <c r="E217" i="13" s="1"/>
  <c r="AS115" i="17" l="1"/>
  <c r="AF217" i="13"/>
  <c r="E218" i="13" s="1"/>
  <c r="AT115" i="17"/>
  <c r="H115" i="17" l="1"/>
  <c r="AF115" i="17" s="1"/>
  <c r="E116" i="17" s="1"/>
  <c r="AF218" i="13"/>
  <c r="E219" i="13" s="1"/>
  <c r="AS116" i="17" l="1"/>
  <c r="AF219" i="13"/>
  <c r="E220" i="13" s="1"/>
  <c r="AT116" i="17"/>
  <c r="H116" i="17" l="1"/>
  <c r="AF116" i="17" s="1"/>
  <c r="E117" i="17" s="1"/>
  <c r="AF220" i="13"/>
  <c r="E221" i="13" s="1"/>
  <c r="AS117" i="17" l="1"/>
  <c r="AF221" i="13"/>
  <c r="E222" i="13" s="1"/>
  <c r="AT117" i="17"/>
  <c r="H117" i="17" l="1"/>
  <c r="AF117" i="17" s="1"/>
  <c r="E118" i="17" s="1"/>
  <c r="AF222" i="13"/>
  <c r="E223" i="13" s="1"/>
  <c r="AS118" i="17" l="1"/>
  <c r="AF223" i="13"/>
  <c r="E224" i="13" s="1"/>
  <c r="AT118" i="17"/>
  <c r="H118" i="17" l="1"/>
  <c r="AF118" i="17" s="1"/>
  <c r="E119" i="17" s="1"/>
  <c r="AF224" i="13"/>
  <c r="E225" i="13" s="1"/>
  <c r="AS119" i="17" l="1"/>
  <c r="AF225" i="13"/>
  <c r="E226" i="13" s="1"/>
  <c r="AT119" i="17"/>
  <c r="H119" i="17" l="1"/>
  <c r="AF119" i="17" s="1"/>
  <c r="E120" i="17" s="1"/>
  <c r="AF226" i="13"/>
  <c r="E227" i="13" s="1"/>
  <c r="AS120" i="17" l="1"/>
  <c r="AF227" i="13"/>
  <c r="E228" i="13" s="1"/>
  <c r="AT120" i="17"/>
  <c r="H120" i="17" l="1"/>
  <c r="AF120" i="17" s="1"/>
  <c r="E121" i="17" s="1"/>
  <c r="AF228" i="13"/>
  <c r="E229" i="13" s="1"/>
  <c r="AS121" i="17" l="1"/>
  <c r="AF229" i="13"/>
  <c r="E230" i="13" s="1"/>
  <c r="AT121" i="17"/>
  <c r="H121" i="17" l="1"/>
  <c r="AF121" i="17" s="1"/>
  <c r="E122" i="17" s="1"/>
  <c r="AF230" i="13"/>
  <c r="E231" i="13" s="1"/>
  <c r="AS122" i="17" l="1"/>
  <c r="AF231" i="13"/>
  <c r="E232" i="13" s="1"/>
  <c r="AT122" i="17"/>
  <c r="H122" i="17" l="1"/>
  <c r="AF122" i="17" s="1"/>
  <c r="E123" i="17" s="1"/>
  <c r="AF232" i="13"/>
  <c r="E233" i="13" s="1"/>
  <c r="AS123" i="17" l="1"/>
  <c r="AF233" i="13"/>
  <c r="E234" i="13" s="1"/>
  <c r="AT123" i="17"/>
  <c r="H123" i="17" l="1"/>
  <c r="AF123" i="17" s="1"/>
  <c r="E124" i="17" s="1"/>
  <c r="AF234" i="13"/>
  <c r="E235" i="13" s="1"/>
  <c r="AS124" i="17" l="1"/>
  <c r="AF235" i="13"/>
  <c r="E236" i="13" s="1"/>
  <c r="AT124" i="17"/>
  <c r="H124" i="17" l="1"/>
  <c r="AF124" i="17" s="1"/>
  <c r="E125" i="17" s="1"/>
  <c r="AF236" i="13"/>
  <c r="E237" i="13" s="1"/>
  <c r="AS125" i="17" l="1"/>
  <c r="AF237" i="13"/>
  <c r="E238" i="13" s="1"/>
  <c r="AT125" i="17"/>
  <c r="H125" i="17" l="1"/>
  <c r="AF125" i="17" s="1"/>
  <c r="E126" i="17" s="1"/>
  <c r="AF238" i="13"/>
  <c r="E239" i="13" s="1"/>
  <c r="AS126" i="17" l="1"/>
  <c r="AF239" i="13"/>
  <c r="E240" i="13" s="1"/>
  <c r="AT126" i="17"/>
  <c r="H126" i="17" l="1"/>
  <c r="AF126" i="17" s="1"/>
  <c r="E127" i="17" s="1"/>
  <c r="AF240" i="13"/>
  <c r="E241" i="13" s="1"/>
  <c r="AS127" i="17" l="1"/>
  <c r="AF241" i="13"/>
  <c r="E242" i="13" s="1"/>
  <c r="AT127" i="17"/>
  <c r="H127" i="17" l="1"/>
  <c r="AF127" i="17" s="1"/>
  <c r="E128" i="17" s="1"/>
  <c r="AF242" i="13"/>
  <c r="E243" i="13" s="1"/>
  <c r="AS128" i="17" l="1"/>
  <c r="AF243" i="13"/>
  <c r="E244" i="13" s="1"/>
  <c r="AT128" i="17"/>
  <c r="H128" i="17" l="1"/>
  <c r="AF128" i="17" s="1"/>
  <c r="E129" i="17" s="1"/>
  <c r="AF244" i="13"/>
  <c r="E245" i="13" s="1"/>
  <c r="AS129" i="17" l="1"/>
  <c r="AF245" i="13"/>
  <c r="E246" i="13" s="1"/>
  <c r="AT129" i="17"/>
  <c r="H129" i="17" l="1"/>
  <c r="AF129" i="17" s="1"/>
  <c r="E130" i="17" s="1"/>
  <c r="AF246" i="13"/>
  <c r="E247" i="13" s="1"/>
  <c r="AS130" i="17" l="1"/>
  <c r="AF247" i="13"/>
  <c r="E248" i="13" s="1"/>
  <c r="AT130" i="17"/>
  <c r="H130" i="17" l="1"/>
  <c r="AF130" i="17" s="1"/>
  <c r="E131" i="17" s="1"/>
  <c r="AF248" i="13"/>
  <c r="E249" i="13" s="1"/>
  <c r="AS131" i="17" l="1"/>
  <c r="AF249" i="13"/>
  <c r="E250" i="13" s="1"/>
  <c r="AT131" i="17"/>
  <c r="H131" i="17" l="1"/>
  <c r="AF131" i="17" s="1"/>
  <c r="E132" i="17" s="1"/>
  <c r="AF250" i="13"/>
  <c r="E251" i="13" s="1"/>
  <c r="AS132" i="17" l="1"/>
  <c r="AF251" i="13"/>
  <c r="E252" i="13" s="1"/>
  <c r="AT132" i="17"/>
  <c r="H132" i="17" l="1"/>
  <c r="AF132" i="17" s="1"/>
  <c r="E133" i="17" s="1"/>
  <c r="AF252" i="13"/>
  <c r="E253" i="13" s="1"/>
  <c r="AS133" i="17" l="1"/>
  <c r="AF253" i="13"/>
  <c r="E254" i="13" s="1"/>
  <c r="AT133" i="17"/>
  <c r="H133" i="17" l="1"/>
  <c r="AF133" i="17" s="1"/>
  <c r="E134" i="17" s="1"/>
  <c r="AF254" i="13"/>
  <c r="E255" i="13" s="1"/>
  <c r="AS134" i="17" l="1"/>
  <c r="AF255" i="13"/>
  <c r="E256" i="13" s="1"/>
  <c r="AT134" i="17"/>
  <c r="H134" i="17" l="1"/>
  <c r="AF134" i="17" s="1"/>
  <c r="E135" i="17" s="1"/>
  <c r="AF256" i="13"/>
  <c r="E257" i="13" s="1"/>
  <c r="AS135" i="17" l="1"/>
  <c r="AF257" i="13"/>
  <c r="E258" i="13" s="1"/>
  <c r="AT135" i="17"/>
  <c r="H135" i="17" l="1"/>
  <c r="AF135" i="17" s="1"/>
  <c r="E136" i="17" s="1"/>
  <c r="AF258" i="13"/>
  <c r="E259" i="13" s="1"/>
  <c r="AS136" i="17" l="1"/>
  <c r="AF259" i="13"/>
  <c r="E260" i="13" s="1"/>
  <c r="AT136" i="17"/>
  <c r="H136" i="17" l="1"/>
  <c r="AF136" i="17" s="1"/>
  <c r="E137" i="17" s="1"/>
  <c r="AF260" i="13"/>
  <c r="E261" i="13" s="1"/>
  <c r="AS137" i="17" l="1"/>
  <c r="AF261" i="13"/>
  <c r="E262" i="13" s="1"/>
  <c r="AT137" i="17"/>
  <c r="H137" i="17" l="1"/>
  <c r="AF137" i="17" s="1"/>
  <c r="E138" i="17" s="1"/>
  <c r="AF262" i="13"/>
  <c r="E263" i="13" s="1"/>
  <c r="AS138" i="17" l="1"/>
  <c r="AF263" i="13"/>
  <c r="E264" i="13" s="1"/>
  <c r="AT138" i="17"/>
  <c r="H138" i="17" l="1"/>
  <c r="AF138" i="17" s="1"/>
  <c r="E139" i="17" s="1"/>
  <c r="AF264" i="13"/>
  <c r="E265" i="13" s="1"/>
  <c r="AS139" i="17" l="1"/>
  <c r="AF265" i="13"/>
  <c r="E266" i="13" s="1"/>
  <c r="AT139" i="17"/>
  <c r="H139" i="17" l="1"/>
  <c r="AF139" i="17" s="1"/>
  <c r="E140" i="17" s="1"/>
  <c r="AF266" i="13"/>
  <c r="E267" i="13" s="1"/>
  <c r="AS140" i="17" l="1"/>
  <c r="AF267" i="13"/>
  <c r="E268" i="13" s="1"/>
  <c r="AT140" i="17"/>
  <c r="H140" i="17" l="1"/>
  <c r="AF140" i="17" s="1"/>
  <c r="E141" i="17" s="1"/>
  <c r="AF268" i="13"/>
  <c r="E269" i="13" s="1"/>
  <c r="AS141" i="17" l="1"/>
  <c r="AF269" i="13"/>
  <c r="E270" i="13" s="1"/>
  <c r="AT141" i="17"/>
  <c r="H141" i="17" l="1"/>
  <c r="AF141" i="17" s="1"/>
  <c r="E142" i="17" s="1"/>
  <c r="AF270" i="13"/>
  <c r="E271" i="13" s="1"/>
  <c r="AS142" i="17" l="1"/>
  <c r="AF271" i="13"/>
  <c r="E272" i="13" s="1"/>
  <c r="AT142" i="17"/>
  <c r="H142" i="17" l="1"/>
  <c r="AF142" i="17" s="1"/>
  <c r="E143" i="17" s="1"/>
  <c r="AF272" i="13"/>
  <c r="E273" i="13" s="1"/>
  <c r="AS143" i="17" l="1"/>
  <c r="AF273" i="13"/>
  <c r="E274" i="13" s="1"/>
  <c r="AT143" i="17"/>
  <c r="H143" i="17" l="1"/>
  <c r="AF143" i="17" s="1"/>
  <c r="E144" i="17" s="1"/>
  <c r="AF274" i="13"/>
  <c r="E275" i="13" s="1"/>
  <c r="AS144" i="17" l="1"/>
  <c r="AF275" i="13"/>
  <c r="E276" i="13" s="1"/>
  <c r="AT144" i="17"/>
  <c r="H144" i="17" l="1"/>
  <c r="AF144" i="17" s="1"/>
  <c r="E145" i="17" s="1"/>
  <c r="AF276" i="13"/>
  <c r="E277" i="13" s="1"/>
  <c r="AS145" i="17" l="1"/>
  <c r="AF277" i="13"/>
  <c r="E278" i="13" s="1"/>
  <c r="AT145" i="17"/>
  <c r="H145" i="17" l="1"/>
  <c r="AF145" i="17" s="1"/>
  <c r="E146" i="17" s="1"/>
  <c r="AF278" i="13"/>
  <c r="E279" i="13" s="1"/>
  <c r="AS146" i="17" l="1"/>
  <c r="AF279" i="13"/>
  <c r="E280" i="13" s="1"/>
  <c r="AT146" i="17"/>
  <c r="H146" i="17" l="1"/>
  <c r="AF146" i="17" s="1"/>
  <c r="E147" i="17" s="1"/>
  <c r="AF280" i="13"/>
  <c r="E281" i="13" s="1"/>
  <c r="AS147" i="17" l="1"/>
  <c r="AF281" i="13"/>
  <c r="E282" i="13" s="1"/>
  <c r="AT147" i="17"/>
  <c r="H147" i="17" l="1"/>
  <c r="AF147" i="17" s="1"/>
  <c r="E148" i="17" s="1"/>
  <c r="AF282" i="13"/>
  <c r="E283" i="13" s="1"/>
  <c r="AS148" i="17" l="1"/>
  <c r="AF283" i="13"/>
  <c r="E284" i="13" s="1"/>
  <c r="AT148" i="17"/>
  <c r="H148" i="17" l="1"/>
  <c r="AF148" i="17" s="1"/>
  <c r="E149" i="17" s="1"/>
  <c r="AF284" i="13"/>
  <c r="E285" i="13" s="1"/>
  <c r="AS149" i="17" l="1"/>
  <c r="AF285" i="13"/>
  <c r="E286" i="13" s="1"/>
  <c r="AT149" i="17"/>
  <c r="H149" i="17" l="1"/>
  <c r="AF149" i="17" s="1"/>
  <c r="E150" i="17" s="1"/>
  <c r="AF286" i="13"/>
  <c r="E287" i="13" s="1"/>
  <c r="AS150" i="17" l="1"/>
  <c r="AF287" i="13"/>
  <c r="E288" i="13" s="1"/>
  <c r="AT150" i="17"/>
  <c r="H150" i="17" l="1"/>
  <c r="AF150" i="17" s="1"/>
  <c r="E151" i="17" s="1"/>
  <c r="AF288" i="13"/>
  <c r="E289" i="13" s="1"/>
  <c r="AS151" i="17" l="1"/>
  <c r="AF289" i="13"/>
  <c r="E290" i="13" s="1"/>
  <c r="AT151" i="17"/>
  <c r="H151" i="17" l="1"/>
  <c r="AF151" i="17" s="1"/>
  <c r="E152" i="17" s="1"/>
  <c r="AF290" i="13"/>
  <c r="E291" i="13" s="1"/>
  <c r="AS152" i="17" l="1"/>
  <c r="AF291" i="13"/>
  <c r="E292" i="13" s="1"/>
  <c r="AT152" i="17"/>
  <c r="H152" i="17" l="1"/>
  <c r="AF152" i="17" s="1"/>
  <c r="E153" i="17" s="1"/>
  <c r="AF292" i="13"/>
  <c r="E293" i="13" s="1"/>
  <c r="AS153" i="17" l="1"/>
  <c r="AF293" i="13"/>
  <c r="E294" i="13" s="1"/>
  <c r="AT153" i="17"/>
  <c r="H153" i="17" l="1"/>
  <c r="AF153" i="17" s="1"/>
  <c r="E154" i="17" s="1"/>
  <c r="AF294" i="13"/>
  <c r="E295" i="13" s="1"/>
  <c r="AS154" i="17" l="1"/>
  <c r="AF295" i="13"/>
  <c r="E296" i="13" s="1"/>
  <c r="AT154" i="17"/>
  <c r="H154" i="17" l="1"/>
  <c r="AF154" i="17" s="1"/>
  <c r="E155" i="17" s="1"/>
  <c r="AF296" i="13"/>
  <c r="E297" i="13" s="1"/>
  <c r="AS155" i="17" l="1"/>
  <c r="AF297" i="13"/>
  <c r="E298" i="13" s="1"/>
  <c r="AT155" i="17"/>
  <c r="H155" i="17" l="1"/>
  <c r="AF155" i="17" s="1"/>
  <c r="E156" i="17" s="1"/>
  <c r="AF298" i="13"/>
  <c r="E299" i="13" s="1"/>
  <c r="AS156" i="17" l="1"/>
  <c r="AF299" i="13"/>
  <c r="E300" i="13" s="1"/>
  <c r="AT156" i="17"/>
  <c r="H156" i="17" l="1"/>
  <c r="AF156" i="17" s="1"/>
  <c r="E157" i="17" s="1"/>
  <c r="AF300" i="13"/>
  <c r="E301" i="13" s="1"/>
  <c r="AS157" i="17" l="1"/>
  <c r="AF301" i="13"/>
  <c r="E302" i="13" s="1"/>
  <c r="AT157" i="17"/>
  <c r="H157" i="17" l="1"/>
  <c r="AF157" i="17" s="1"/>
  <c r="E158" i="17" s="1"/>
  <c r="AF302" i="13"/>
  <c r="E303" i="13" s="1"/>
  <c r="AS158" i="17" l="1"/>
  <c r="AF303" i="13"/>
  <c r="E304" i="13" s="1"/>
  <c r="AT158" i="17"/>
  <c r="H158" i="17" l="1"/>
  <c r="AF158" i="17" s="1"/>
  <c r="E159" i="17" s="1"/>
  <c r="AF304" i="13"/>
  <c r="E305" i="13" s="1"/>
  <c r="AS159" i="17" l="1"/>
  <c r="AF305" i="13"/>
  <c r="E306" i="13" s="1"/>
  <c r="AT159" i="17"/>
  <c r="H159" i="17" l="1"/>
  <c r="AF159" i="17" s="1"/>
  <c r="E160" i="17" s="1"/>
  <c r="AF306" i="13"/>
  <c r="E307" i="13" s="1"/>
  <c r="AS160" i="17" l="1"/>
  <c r="AF307" i="13"/>
  <c r="E308" i="13" s="1"/>
  <c r="AT160" i="17"/>
  <c r="H160" i="17" l="1"/>
  <c r="AF160" i="17" s="1"/>
  <c r="E161" i="17" s="1"/>
  <c r="AF308" i="13"/>
  <c r="E309" i="13" s="1"/>
  <c r="AS161" i="17" l="1"/>
  <c r="AF309" i="13"/>
  <c r="E310" i="13" s="1"/>
  <c r="AT161" i="17"/>
  <c r="H161" i="17" l="1"/>
  <c r="AF161" i="17" s="1"/>
  <c r="E162" i="17" s="1"/>
  <c r="AF310" i="13"/>
  <c r="E311" i="13" s="1"/>
  <c r="AS162" i="17" l="1"/>
  <c r="AF311" i="13"/>
  <c r="E312" i="13" s="1"/>
  <c r="AT162" i="17"/>
  <c r="H162" i="17" l="1"/>
  <c r="AF162" i="17" s="1"/>
  <c r="E163" i="17" s="1"/>
  <c r="AF312" i="13"/>
  <c r="E313" i="13" s="1"/>
  <c r="AS163" i="17" l="1"/>
  <c r="AF313" i="13"/>
  <c r="E314" i="13" s="1"/>
  <c r="AT163" i="17"/>
  <c r="H163" i="17" l="1"/>
  <c r="AF163" i="17" s="1"/>
  <c r="E164" i="17" s="1"/>
  <c r="AF314" i="13"/>
  <c r="E315" i="13" s="1"/>
  <c r="AS164" i="17" l="1"/>
  <c r="AF315" i="13"/>
  <c r="E316" i="13" s="1"/>
  <c r="AT164" i="17"/>
  <c r="H164" i="17" l="1"/>
  <c r="AF164" i="17" s="1"/>
  <c r="E165" i="17" s="1"/>
  <c r="AF316" i="13"/>
  <c r="E317" i="13" s="1"/>
  <c r="AS165" i="17" l="1"/>
  <c r="AF317" i="13"/>
  <c r="E318" i="13" s="1"/>
  <c r="AT165" i="17"/>
  <c r="H165" i="17" l="1"/>
  <c r="AF165" i="17" s="1"/>
  <c r="E166" i="17" s="1"/>
  <c r="AF318" i="13"/>
  <c r="E319" i="13" s="1"/>
  <c r="AS166" i="17" l="1"/>
  <c r="AF319" i="13"/>
  <c r="E320" i="13" s="1"/>
  <c r="AT166" i="17"/>
  <c r="H166" i="17" l="1"/>
  <c r="AF166" i="17" s="1"/>
  <c r="E167" i="17" s="1"/>
  <c r="AF320" i="13"/>
  <c r="E321" i="13" s="1"/>
  <c r="AS167" i="17" l="1"/>
  <c r="AF321" i="13"/>
  <c r="E322" i="13" s="1"/>
  <c r="AT167" i="17"/>
  <c r="H167" i="17" l="1"/>
  <c r="AF167" i="17" s="1"/>
  <c r="E168" i="17" s="1"/>
  <c r="AF322" i="13"/>
  <c r="E323" i="13" s="1"/>
  <c r="AS168" i="17" l="1"/>
  <c r="AF323" i="13"/>
  <c r="E324" i="13" s="1"/>
  <c r="AT168" i="17"/>
  <c r="H168" i="17" l="1"/>
  <c r="AF168" i="17" s="1"/>
  <c r="E169" i="17" s="1"/>
  <c r="AF324" i="13"/>
  <c r="E325" i="13" s="1"/>
  <c r="AS169" i="17" l="1"/>
  <c r="AF325" i="13"/>
  <c r="E326" i="13" s="1"/>
  <c r="AT169" i="17"/>
  <c r="H169" i="17" l="1"/>
  <c r="AF169" i="17" s="1"/>
  <c r="E170" i="17" s="1"/>
  <c r="AF326" i="13"/>
  <c r="E327" i="13" s="1"/>
  <c r="AS170" i="17" l="1"/>
  <c r="AF327" i="13"/>
  <c r="E328" i="13" s="1"/>
  <c r="AT170" i="17"/>
  <c r="H170" i="17" l="1"/>
  <c r="AF170" i="17" s="1"/>
  <c r="E171" i="17" s="1"/>
  <c r="AF328" i="13"/>
  <c r="E329" i="13" s="1"/>
  <c r="AS171" i="17" l="1"/>
  <c r="AF329" i="13"/>
  <c r="E330" i="13" s="1"/>
  <c r="AT171" i="17"/>
  <c r="H171" i="17" l="1"/>
  <c r="AF171" i="17" s="1"/>
  <c r="E172" i="17" s="1"/>
  <c r="AF330" i="13"/>
  <c r="E331" i="13" s="1"/>
  <c r="AS172" i="17" l="1"/>
  <c r="AF331" i="13"/>
  <c r="E332" i="13" s="1"/>
  <c r="AT172" i="17"/>
  <c r="H172" i="17" l="1"/>
  <c r="AF172" i="17" s="1"/>
  <c r="E173" i="17" s="1"/>
  <c r="AF332" i="13"/>
  <c r="E333" i="13" s="1"/>
  <c r="AS173" i="17" l="1"/>
  <c r="AF333" i="13"/>
  <c r="E334" i="13" s="1"/>
  <c r="AT173" i="17"/>
  <c r="H173" i="17" l="1"/>
  <c r="AF173" i="17" s="1"/>
  <c r="E174" i="17" s="1"/>
  <c r="AF334" i="13"/>
  <c r="E335" i="13" s="1"/>
  <c r="AS174" i="17" l="1"/>
  <c r="AF335" i="13"/>
  <c r="E336" i="13" s="1"/>
  <c r="AT174" i="17"/>
  <c r="H174" i="17" l="1"/>
  <c r="AF174" i="17" s="1"/>
  <c r="E175" i="17" s="1"/>
  <c r="AF336" i="13"/>
  <c r="E337" i="13" s="1"/>
  <c r="AS175" i="17" l="1"/>
  <c r="AF337" i="13"/>
  <c r="E338" i="13" s="1"/>
  <c r="AT175" i="17"/>
  <c r="H175" i="17" l="1"/>
  <c r="AF175" i="17" s="1"/>
  <c r="E176" i="17" s="1"/>
  <c r="AF338" i="13"/>
  <c r="E339" i="13" s="1"/>
  <c r="AS176" i="17" l="1"/>
  <c r="AF339" i="13"/>
  <c r="E340" i="13" s="1"/>
  <c r="AT176" i="17"/>
  <c r="H176" i="17" l="1"/>
  <c r="AF176" i="17" s="1"/>
  <c r="E177" i="17" s="1"/>
  <c r="AF340" i="13"/>
  <c r="E341" i="13" s="1"/>
  <c r="AS177" i="17" l="1"/>
  <c r="AF341" i="13"/>
  <c r="E342" i="13" s="1"/>
  <c r="AT177" i="17"/>
  <c r="H177" i="17" l="1"/>
  <c r="AF177" i="17" s="1"/>
  <c r="E178" i="17" s="1"/>
  <c r="AF342" i="13"/>
  <c r="E343" i="13" s="1"/>
  <c r="AS178" i="17" l="1"/>
  <c r="AF343" i="13"/>
  <c r="E344" i="13" s="1"/>
  <c r="AT178" i="17"/>
  <c r="H178" i="17" l="1"/>
  <c r="AF178" i="17" s="1"/>
  <c r="E179" i="17" s="1"/>
  <c r="AF344" i="13"/>
  <c r="E345" i="13" s="1"/>
  <c r="AS179" i="17" l="1"/>
  <c r="AF345" i="13"/>
  <c r="E346" i="13" s="1"/>
  <c r="AT179" i="17"/>
  <c r="H179" i="17" l="1"/>
  <c r="AF179" i="17" s="1"/>
  <c r="E180" i="17" s="1"/>
  <c r="AF346" i="13"/>
  <c r="E347" i="13" s="1"/>
  <c r="AS180" i="17" l="1"/>
  <c r="AF347" i="13"/>
  <c r="E348" i="13" s="1"/>
  <c r="AT180" i="17"/>
  <c r="H180" i="17" l="1"/>
  <c r="AF180" i="17" s="1"/>
  <c r="E181" i="17" s="1"/>
  <c r="AF348" i="13"/>
  <c r="E349" i="13" s="1"/>
  <c r="AS181" i="17" l="1"/>
  <c r="AF349" i="13"/>
  <c r="E350" i="13" s="1"/>
  <c r="AT181" i="17"/>
  <c r="H181" i="17" l="1"/>
  <c r="AF181" i="17" s="1"/>
  <c r="E182" i="17" s="1"/>
  <c r="AF350" i="13"/>
  <c r="E351" i="13" s="1"/>
  <c r="AS182" i="17" l="1"/>
  <c r="AF351" i="13"/>
  <c r="E352" i="13" s="1"/>
  <c r="AT182" i="17"/>
  <c r="H182" i="17" l="1"/>
  <c r="AF182" i="17" s="1"/>
  <c r="E183" i="17" s="1"/>
  <c r="AF352" i="13"/>
  <c r="E353" i="13" s="1"/>
  <c r="AS183" i="17" l="1"/>
  <c r="AF353" i="13"/>
  <c r="E354" i="13" s="1"/>
  <c r="AT183" i="17"/>
  <c r="H183" i="17" l="1"/>
  <c r="AF183" i="17" s="1"/>
  <c r="E184" i="17" s="1"/>
  <c r="AF354" i="13"/>
  <c r="E355" i="13" s="1"/>
  <c r="AS184" i="17" l="1"/>
  <c r="AF355" i="13"/>
  <c r="E356" i="13" s="1"/>
  <c r="AT184" i="17"/>
  <c r="H184" i="17" l="1"/>
  <c r="AF184" i="17" s="1"/>
  <c r="E185" i="17" s="1"/>
  <c r="AF356" i="13"/>
  <c r="E357" i="13" s="1"/>
  <c r="AS185" i="17" l="1"/>
  <c r="AF357" i="13"/>
  <c r="E358" i="13" s="1"/>
  <c r="AT185" i="17"/>
  <c r="H185" i="17" l="1"/>
  <c r="AF185" i="17" s="1"/>
  <c r="E186" i="17" s="1"/>
  <c r="AF358" i="13"/>
  <c r="E359" i="13" s="1"/>
  <c r="AS186" i="17" l="1"/>
  <c r="AF359" i="13"/>
  <c r="E360" i="13" s="1"/>
  <c r="AT186" i="17"/>
  <c r="H186" i="17" l="1"/>
  <c r="AF186" i="17" s="1"/>
  <c r="E187" i="17" s="1"/>
  <c r="AF360" i="13"/>
  <c r="E361" i="13" s="1"/>
  <c r="AS187" i="17" l="1"/>
  <c r="AF361" i="13"/>
  <c r="E362" i="13" s="1"/>
  <c r="AT187" i="17"/>
  <c r="H187" i="17" l="1"/>
  <c r="AF187" i="17" s="1"/>
  <c r="E188" i="17" s="1"/>
  <c r="AF362" i="13"/>
  <c r="E363" i="13" s="1"/>
  <c r="AS188" i="17" l="1"/>
  <c r="AF363" i="13"/>
  <c r="E364" i="13" s="1"/>
  <c r="AT188" i="17"/>
  <c r="H188" i="17" l="1"/>
  <c r="AF188" i="17" s="1"/>
  <c r="E189" i="17" s="1"/>
  <c r="AF364" i="13"/>
  <c r="E365" i="13" s="1"/>
  <c r="AS189" i="17" l="1"/>
  <c r="AF365" i="13"/>
  <c r="E366" i="13" s="1"/>
  <c r="AT189" i="17"/>
  <c r="H189" i="17" l="1"/>
  <c r="AF189" i="17" s="1"/>
  <c r="E190" i="17" s="1"/>
  <c r="AF366" i="13"/>
  <c r="E367" i="13" s="1"/>
  <c r="AS190" i="17" l="1"/>
  <c r="AF367" i="13"/>
  <c r="E368" i="13" s="1"/>
  <c r="AT190" i="17"/>
  <c r="H190" i="17" l="1"/>
  <c r="AF190" i="17" s="1"/>
  <c r="E191" i="17" s="1"/>
  <c r="AF368" i="13"/>
  <c r="E369" i="13" s="1"/>
  <c r="AS191" i="17" l="1"/>
  <c r="AF369" i="13"/>
  <c r="E370" i="13" s="1"/>
  <c r="AT191" i="17"/>
  <c r="H191" i="17" l="1"/>
  <c r="AF191" i="17" s="1"/>
  <c r="E192" i="17" s="1"/>
  <c r="AF370" i="13"/>
  <c r="E371" i="13" s="1"/>
  <c r="AS192" i="17" l="1"/>
  <c r="AF371" i="13"/>
  <c r="E372" i="13" s="1"/>
  <c r="AT192" i="17"/>
  <c r="H192" i="17" l="1"/>
  <c r="AF192" i="17" s="1"/>
  <c r="E193" i="17" s="1"/>
  <c r="AF372" i="13"/>
  <c r="E373" i="13" s="1"/>
  <c r="AS193" i="17" l="1"/>
  <c r="AF373" i="13"/>
  <c r="E374" i="13" s="1"/>
  <c r="AT193" i="17"/>
  <c r="H193" i="17" l="1"/>
  <c r="AF193" i="17" s="1"/>
  <c r="E194" i="17" s="1"/>
  <c r="AF374" i="13"/>
  <c r="E375" i="13" s="1"/>
  <c r="AS194" i="17" l="1"/>
  <c r="AF375" i="13"/>
  <c r="E376" i="13" s="1"/>
  <c r="AT194" i="17"/>
  <c r="H194" i="17" l="1"/>
  <c r="AF194" i="17" s="1"/>
  <c r="E195" i="17" s="1"/>
  <c r="AF376" i="13"/>
  <c r="E377" i="13" s="1"/>
  <c r="AS195" i="17" l="1"/>
  <c r="AF377" i="13"/>
  <c r="E378" i="13" s="1"/>
  <c r="AT195" i="17"/>
  <c r="H195" i="17" l="1"/>
  <c r="AF195" i="17" s="1"/>
  <c r="E196" i="17" s="1"/>
  <c r="AF378" i="13"/>
  <c r="E379" i="13" s="1"/>
  <c r="AS196" i="17" l="1"/>
  <c r="AF379" i="13"/>
  <c r="E380" i="13" s="1"/>
  <c r="AT196" i="17"/>
  <c r="H196" i="17" l="1"/>
  <c r="AF196" i="17" s="1"/>
  <c r="E197" i="17" s="1"/>
  <c r="AF380" i="13"/>
  <c r="E381" i="13" s="1"/>
  <c r="AS197" i="17" l="1"/>
  <c r="AF381" i="13"/>
  <c r="E382" i="13" s="1"/>
  <c r="AT197" i="17"/>
  <c r="H197" i="17" l="1"/>
  <c r="AF197" i="17" s="1"/>
  <c r="E198" i="17" s="1"/>
  <c r="AF382" i="13"/>
  <c r="E383" i="13" s="1"/>
  <c r="AS198" i="17" l="1"/>
  <c r="AF383" i="13"/>
  <c r="E384" i="13" s="1"/>
  <c r="AT198" i="17"/>
  <c r="H198" i="17" l="1"/>
  <c r="AF198" i="17" s="1"/>
  <c r="E199" i="17" s="1"/>
  <c r="AF384" i="13"/>
  <c r="E385" i="13" s="1"/>
  <c r="AS199" i="17" l="1"/>
  <c r="AF385" i="13"/>
  <c r="E386" i="13" s="1"/>
  <c r="AT199" i="17"/>
  <c r="H199" i="17" l="1"/>
  <c r="AF199" i="17" s="1"/>
  <c r="E200" i="17" s="1"/>
  <c r="AF386" i="13"/>
  <c r="E387" i="13" s="1"/>
  <c r="AS200" i="17" l="1"/>
  <c r="AF387" i="13"/>
  <c r="E388" i="13" s="1"/>
  <c r="AT200" i="17"/>
  <c r="H200" i="17" l="1"/>
  <c r="AF200" i="17" s="1"/>
  <c r="E201" i="17" s="1"/>
  <c r="AF388" i="13"/>
  <c r="E389" i="13" s="1"/>
  <c r="AS201" i="17" l="1"/>
  <c r="AF389" i="13"/>
  <c r="E390" i="13" s="1"/>
  <c r="AT201" i="17"/>
  <c r="H201" i="17" l="1"/>
  <c r="AF201" i="17" s="1"/>
  <c r="E202" i="17" s="1"/>
  <c r="AF390" i="13"/>
  <c r="E391" i="13" s="1"/>
  <c r="AS202" i="17" l="1"/>
  <c r="AF391" i="13"/>
  <c r="E392" i="13" s="1"/>
  <c r="AT202" i="17"/>
  <c r="H202" i="17" l="1"/>
  <c r="AF202" i="17" s="1"/>
  <c r="E203" i="17" s="1"/>
  <c r="AF392" i="13"/>
  <c r="E393" i="13" s="1"/>
  <c r="AS203" i="17" l="1"/>
  <c r="AF393" i="13"/>
  <c r="E394" i="13" s="1"/>
  <c r="AT203" i="17"/>
  <c r="H203" i="17" l="1"/>
  <c r="AF203" i="17" s="1"/>
  <c r="E204" i="17" s="1"/>
  <c r="AF394" i="13"/>
  <c r="E395" i="13" s="1"/>
  <c r="AS204" i="17" l="1"/>
  <c r="AF395" i="13"/>
  <c r="E396" i="13" s="1"/>
  <c r="AT204" i="17"/>
  <c r="H204" i="17" l="1"/>
  <c r="AF204" i="17" s="1"/>
  <c r="E205" i="17" s="1"/>
  <c r="AF396" i="13"/>
  <c r="E397" i="13" s="1"/>
  <c r="AS205" i="17" l="1"/>
  <c r="AF397" i="13"/>
  <c r="E398" i="13" s="1"/>
  <c r="AT205" i="17"/>
  <c r="H205" i="17" l="1"/>
  <c r="AF205" i="17" s="1"/>
  <c r="E206" i="17" s="1"/>
  <c r="AF398" i="13"/>
  <c r="E399" i="13" s="1"/>
  <c r="AS206" i="17" l="1"/>
  <c r="AF399" i="13"/>
  <c r="E400" i="13" s="1"/>
  <c r="AT206" i="17"/>
  <c r="H206" i="17" l="1"/>
  <c r="AF206" i="17" s="1"/>
  <c r="E207" i="17" s="1"/>
  <c r="AF400" i="13"/>
  <c r="E401" i="13" s="1"/>
  <c r="AS207" i="17" l="1"/>
  <c r="AF401" i="13"/>
  <c r="E402" i="13" s="1"/>
  <c r="AT207" i="17"/>
  <c r="H207" i="17" l="1"/>
  <c r="AF207" i="17" s="1"/>
  <c r="E208" i="17" s="1"/>
  <c r="AF402" i="13"/>
  <c r="E403" i="13" s="1"/>
  <c r="AS208" i="17" l="1"/>
  <c r="AF403" i="13"/>
  <c r="E404" i="13" s="1"/>
  <c r="AT208" i="17"/>
  <c r="H208" i="17" l="1"/>
  <c r="AF208" i="17" s="1"/>
  <c r="E209" i="17" s="1"/>
  <c r="AF404" i="13"/>
  <c r="E405" i="13" s="1"/>
  <c r="AS209" i="17" l="1"/>
  <c r="AF405" i="13"/>
  <c r="E406" i="13" s="1"/>
  <c r="AT209" i="17"/>
  <c r="H209" i="17" l="1"/>
  <c r="AF209" i="17" s="1"/>
  <c r="E210" i="17" s="1"/>
  <c r="AF406" i="13"/>
  <c r="E407" i="13" s="1"/>
  <c r="AS210" i="17" l="1"/>
  <c r="AF407" i="13"/>
  <c r="E408" i="13" s="1"/>
  <c r="AT210" i="17"/>
  <c r="H210" i="17" l="1"/>
  <c r="AF210" i="17" s="1"/>
  <c r="E211" i="17" s="1"/>
  <c r="AF408" i="13"/>
  <c r="E409" i="13" s="1"/>
  <c r="AS211" i="17" l="1"/>
  <c r="AF409" i="13"/>
  <c r="E410" i="13" s="1"/>
  <c r="AT211" i="17"/>
  <c r="H211" i="17" l="1"/>
  <c r="AF211" i="17" s="1"/>
  <c r="E212" i="17" s="1"/>
  <c r="AF410" i="13"/>
  <c r="E411" i="13" s="1"/>
  <c r="AS212" i="17" l="1"/>
  <c r="AF411" i="13"/>
  <c r="E412" i="13" s="1"/>
  <c r="AT212" i="17"/>
  <c r="H212" i="17" l="1"/>
  <c r="AF212" i="17" s="1"/>
  <c r="E213" i="17" s="1"/>
  <c r="AF412" i="13"/>
  <c r="E413" i="13" s="1"/>
  <c r="AS213" i="17" l="1"/>
  <c r="AF413" i="13"/>
  <c r="E414" i="13" s="1"/>
  <c r="AT213" i="17"/>
  <c r="H213" i="17" l="1"/>
  <c r="AF213" i="17" s="1"/>
  <c r="E214" i="17" s="1"/>
  <c r="AF414" i="13"/>
  <c r="E415" i="13" s="1"/>
  <c r="AS214" i="17" l="1"/>
  <c r="AF415" i="13"/>
  <c r="E416" i="13" s="1"/>
  <c r="AT214" i="17"/>
  <c r="H214" i="17" l="1"/>
  <c r="AF214" i="17" s="1"/>
  <c r="E215" i="17" s="1"/>
  <c r="AF416" i="13"/>
  <c r="E417" i="13" s="1"/>
  <c r="AS215" i="17" l="1"/>
  <c r="AF417" i="13"/>
  <c r="E418" i="13" s="1"/>
  <c r="AT215" i="17"/>
  <c r="H215" i="17" l="1"/>
  <c r="AF215" i="17" s="1"/>
  <c r="E216" i="17" s="1"/>
  <c r="AF418" i="13"/>
  <c r="E419" i="13" s="1"/>
  <c r="AS216" i="17" l="1"/>
  <c r="AF419" i="13"/>
  <c r="E420" i="13" s="1"/>
  <c r="AT216" i="17"/>
  <c r="H216" i="17" l="1"/>
  <c r="AF216" i="17" s="1"/>
  <c r="E217" i="17" s="1"/>
  <c r="AF420" i="13"/>
  <c r="E421" i="13" s="1"/>
  <c r="AS217" i="17" l="1"/>
  <c r="AF421" i="13"/>
  <c r="E422" i="13" s="1"/>
  <c r="AT217" i="17"/>
  <c r="H217" i="17" l="1"/>
  <c r="AF217" i="17" s="1"/>
  <c r="E218" i="17" s="1"/>
  <c r="AF422" i="13"/>
  <c r="E423" i="13" s="1"/>
  <c r="AS218" i="17" l="1"/>
  <c r="AF423" i="13"/>
  <c r="E424" i="13" s="1"/>
  <c r="AT218" i="17"/>
  <c r="H218" i="17" l="1"/>
  <c r="AF218" i="17" s="1"/>
  <c r="E219" i="17" s="1"/>
  <c r="AF424" i="13"/>
  <c r="E425" i="13" s="1"/>
  <c r="AS219" i="17" l="1"/>
  <c r="AF425" i="13"/>
  <c r="E426" i="13" s="1"/>
  <c r="AT219" i="17"/>
  <c r="H219" i="17" l="1"/>
  <c r="AF219" i="17" s="1"/>
  <c r="E220" i="17" s="1"/>
  <c r="AF426" i="13"/>
  <c r="E427" i="13" s="1"/>
  <c r="AS220" i="17" l="1"/>
  <c r="AF427" i="13"/>
  <c r="E428" i="13" s="1"/>
  <c r="AT220" i="17"/>
  <c r="H220" i="17" l="1"/>
  <c r="AF220" i="17" s="1"/>
  <c r="E221" i="17" s="1"/>
  <c r="AF428" i="13"/>
  <c r="E429" i="13" s="1"/>
  <c r="AS221" i="17" l="1"/>
  <c r="AF429" i="13"/>
  <c r="E430" i="13" s="1"/>
  <c r="AT221" i="17"/>
  <c r="H221" i="17" l="1"/>
  <c r="AF221" i="17" s="1"/>
  <c r="E222" i="17" s="1"/>
  <c r="AF430" i="13"/>
  <c r="E431" i="13" s="1"/>
  <c r="AS222" i="17" l="1"/>
  <c r="AF431" i="13"/>
  <c r="E432" i="13" s="1"/>
  <c r="AT222" i="17"/>
  <c r="H222" i="17" l="1"/>
  <c r="AF222" i="17" s="1"/>
  <c r="E223" i="17" s="1"/>
  <c r="AF432" i="13"/>
  <c r="E433" i="13" s="1"/>
  <c r="AS223" i="17" l="1"/>
  <c r="AF433" i="13"/>
  <c r="E434" i="13" s="1"/>
  <c r="AT223" i="17"/>
  <c r="H223" i="17" l="1"/>
  <c r="AF223" i="17" s="1"/>
  <c r="E224" i="17" s="1"/>
  <c r="AF434" i="13"/>
  <c r="E435" i="13" s="1"/>
  <c r="AS224" i="17" l="1"/>
  <c r="AF435" i="13"/>
  <c r="E436" i="13" s="1"/>
  <c r="AT224" i="17"/>
  <c r="H224" i="17" l="1"/>
  <c r="AF224" i="17" s="1"/>
  <c r="E225" i="17" s="1"/>
  <c r="AF436" i="13"/>
  <c r="E437" i="13" s="1"/>
  <c r="AS225" i="17" l="1"/>
  <c r="AF437" i="13"/>
  <c r="E438" i="13" s="1"/>
  <c r="AT225" i="17"/>
  <c r="H225" i="17" l="1"/>
  <c r="AF225" i="17" s="1"/>
  <c r="E226" i="17" s="1"/>
  <c r="AF438" i="13"/>
  <c r="E439" i="13" s="1"/>
  <c r="AS226" i="17" l="1"/>
  <c r="AF439" i="13"/>
  <c r="E440" i="13" s="1"/>
  <c r="AT226" i="17"/>
  <c r="H226" i="17" l="1"/>
  <c r="AF226" i="17" s="1"/>
  <c r="E227" i="17" s="1"/>
  <c r="AF440" i="13"/>
  <c r="E441" i="13" s="1"/>
  <c r="AS227" i="17" l="1"/>
  <c r="AF441" i="13"/>
  <c r="E442" i="13" s="1"/>
  <c r="AT227" i="17"/>
  <c r="H227" i="17" l="1"/>
  <c r="AF227" i="17" s="1"/>
  <c r="E228" i="17" s="1"/>
  <c r="AF442" i="13"/>
  <c r="E443" i="13" s="1"/>
  <c r="AS228" i="17" l="1"/>
  <c r="AF443" i="13"/>
  <c r="E444" i="13" s="1"/>
  <c r="AT228" i="17"/>
  <c r="H228" i="17" l="1"/>
  <c r="AF228" i="17" s="1"/>
  <c r="E229" i="17" s="1"/>
  <c r="AF444" i="13"/>
  <c r="E445" i="13" s="1"/>
  <c r="AS229" i="17" l="1"/>
  <c r="AF445" i="13"/>
  <c r="E446" i="13" s="1"/>
  <c r="AT229" i="17"/>
  <c r="H229" i="17" l="1"/>
  <c r="AF229" i="17" s="1"/>
  <c r="E230" i="17" s="1"/>
  <c r="AF446" i="13"/>
  <c r="E447" i="13" s="1"/>
  <c r="AS230" i="17" l="1"/>
  <c r="AF447" i="13"/>
  <c r="E448" i="13" s="1"/>
  <c r="AT230" i="17"/>
  <c r="H230" i="17" l="1"/>
  <c r="AF230" i="17" s="1"/>
  <c r="E231" i="17" s="1"/>
  <c r="AF448" i="13"/>
  <c r="E449" i="13" s="1"/>
  <c r="AS231" i="17" l="1"/>
  <c r="AF449" i="13"/>
  <c r="E450" i="13" s="1"/>
  <c r="AT231" i="17"/>
  <c r="H231" i="17" l="1"/>
  <c r="AF231" i="17" s="1"/>
  <c r="E232" i="17" s="1"/>
  <c r="AF450" i="13"/>
  <c r="E451" i="13" s="1"/>
  <c r="AS232" i="17" l="1"/>
  <c r="AF451" i="13"/>
  <c r="E452" i="13" s="1"/>
  <c r="AT232" i="17"/>
  <c r="H232" i="17" l="1"/>
  <c r="AF232" i="17" s="1"/>
  <c r="E233" i="17" s="1"/>
  <c r="AF452" i="13"/>
  <c r="E453" i="13" s="1"/>
  <c r="AS233" i="17" l="1"/>
  <c r="AF453" i="13"/>
  <c r="E454" i="13" s="1"/>
  <c r="AT233" i="17"/>
  <c r="H233" i="17" l="1"/>
  <c r="AF233" i="17" s="1"/>
  <c r="E234" i="17" s="1"/>
  <c r="AF454" i="13"/>
  <c r="E455" i="13" s="1"/>
  <c r="AS234" i="17" l="1"/>
  <c r="AF455" i="13"/>
  <c r="E456" i="13" s="1"/>
  <c r="AT234" i="17"/>
  <c r="H234" i="17" l="1"/>
  <c r="AF234" i="17" s="1"/>
  <c r="E235" i="17" s="1"/>
  <c r="AF456" i="13"/>
  <c r="E457" i="13" s="1"/>
  <c r="AS235" i="17" l="1"/>
  <c r="AF457" i="13"/>
  <c r="E458" i="13" s="1"/>
  <c r="AT235" i="17"/>
  <c r="H235" i="17" l="1"/>
  <c r="AF235" i="17" s="1"/>
  <c r="E236" i="17" s="1"/>
  <c r="AF458" i="13"/>
  <c r="E459" i="13" s="1"/>
  <c r="AS236" i="17" l="1"/>
  <c r="AF459" i="13"/>
  <c r="E460" i="13" s="1"/>
  <c r="AT236" i="17"/>
  <c r="H236" i="17" l="1"/>
  <c r="AF236" i="17" s="1"/>
  <c r="E237" i="17" s="1"/>
  <c r="AF460" i="13"/>
  <c r="E461" i="13" s="1"/>
  <c r="AS237" i="17" l="1"/>
  <c r="AF461" i="13"/>
  <c r="E462" i="13" s="1"/>
  <c r="AT237" i="17"/>
  <c r="H237" i="17" l="1"/>
  <c r="AF237" i="17" s="1"/>
  <c r="E238" i="17" s="1"/>
  <c r="AF462" i="13"/>
  <c r="E463" i="13" s="1"/>
  <c r="AS238" i="17" l="1"/>
  <c r="AF463" i="13"/>
  <c r="E464" i="13" s="1"/>
  <c r="AT238" i="17"/>
  <c r="H238" i="17" l="1"/>
  <c r="AF238" i="17" s="1"/>
  <c r="E239" i="17" s="1"/>
  <c r="AF464" i="13"/>
  <c r="E465" i="13" s="1"/>
  <c r="AS239" i="17" l="1"/>
  <c r="AF465" i="13"/>
  <c r="E466" i="13" s="1"/>
  <c r="AT239" i="17"/>
  <c r="H239" i="17" l="1"/>
  <c r="AF239" i="17" s="1"/>
  <c r="E240" i="17" s="1"/>
  <c r="AF466" i="13"/>
  <c r="E467" i="13" s="1"/>
  <c r="AS240" i="17" l="1"/>
  <c r="AF467" i="13"/>
  <c r="E468" i="13" s="1"/>
  <c r="AT240" i="17"/>
  <c r="H240" i="17" l="1"/>
  <c r="AF240" i="17" s="1"/>
  <c r="E241" i="17" s="1"/>
  <c r="AF468" i="13"/>
  <c r="E469" i="13" s="1"/>
  <c r="AS241" i="17" l="1"/>
  <c r="AF469" i="13"/>
  <c r="E470" i="13" s="1"/>
  <c r="AT241" i="17"/>
  <c r="H241" i="17" l="1"/>
  <c r="AF241" i="17" s="1"/>
  <c r="E242" i="17" s="1"/>
  <c r="AF470" i="13"/>
  <c r="E471" i="13" s="1"/>
  <c r="AS242" i="17" l="1"/>
  <c r="AF471" i="13"/>
  <c r="E472" i="13" s="1"/>
  <c r="AT242" i="17"/>
  <c r="H242" i="17" l="1"/>
  <c r="AF242" i="17" s="1"/>
  <c r="E243" i="17" s="1"/>
  <c r="AF472" i="13"/>
  <c r="E473" i="13" s="1"/>
  <c r="AS243" i="17" l="1"/>
  <c r="AF473" i="13"/>
  <c r="E474" i="13" s="1"/>
  <c r="AT243" i="17"/>
  <c r="H243" i="17" l="1"/>
  <c r="AF243" i="17" s="1"/>
  <c r="E244" i="17" s="1"/>
  <c r="AF474" i="13"/>
  <c r="E475" i="13" s="1"/>
  <c r="AS244" i="17" l="1"/>
  <c r="AF475" i="13"/>
  <c r="E476" i="13" s="1"/>
  <c r="AT244" i="17"/>
  <c r="H244" i="17" l="1"/>
  <c r="AF244" i="17" s="1"/>
  <c r="E245" i="17" s="1"/>
  <c r="AF476" i="13"/>
  <c r="E477" i="13" s="1"/>
  <c r="AS245" i="17" l="1"/>
  <c r="AF477" i="13"/>
  <c r="E478" i="13" s="1"/>
  <c r="AT245" i="17"/>
  <c r="H245" i="17" l="1"/>
  <c r="AF245" i="17" s="1"/>
  <c r="E246" i="17" s="1"/>
  <c r="AF478" i="13"/>
  <c r="E479" i="13" s="1"/>
  <c r="AS246" i="17" l="1"/>
  <c r="AF479" i="13"/>
  <c r="E480" i="13" s="1"/>
  <c r="AT246" i="17"/>
  <c r="H246" i="17" l="1"/>
  <c r="AF246" i="17" s="1"/>
  <c r="E247" i="17" s="1"/>
  <c r="AF480" i="13"/>
  <c r="E481" i="13" s="1"/>
  <c r="AS247" i="17" l="1"/>
  <c r="AF481" i="13"/>
  <c r="E482" i="13" s="1"/>
  <c r="AT247" i="17"/>
  <c r="H247" i="17" l="1"/>
  <c r="AF247" i="17" s="1"/>
  <c r="E248" i="17" s="1"/>
  <c r="AF482" i="13"/>
  <c r="E483" i="13" s="1"/>
  <c r="AS248" i="17" l="1"/>
  <c r="AF483" i="13"/>
  <c r="E484" i="13" s="1"/>
  <c r="AT248" i="17"/>
  <c r="H248" i="17" l="1"/>
  <c r="AF248" i="17" s="1"/>
  <c r="E249" i="17" s="1"/>
  <c r="AF484" i="13"/>
  <c r="E485" i="13" s="1"/>
  <c r="AS249" i="17" l="1"/>
  <c r="AF485" i="13"/>
  <c r="E486" i="13" s="1"/>
  <c r="AT249" i="17"/>
  <c r="H249" i="17" l="1"/>
  <c r="AF249" i="17" s="1"/>
  <c r="E250" i="17" s="1"/>
  <c r="AF486" i="13"/>
  <c r="E487" i="13" s="1"/>
  <c r="AS250" i="17" l="1"/>
  <c r="AF487" i="13"/>
  <c r="E488" i="13" s="1"/>
  <c r="AT250" i="17"/>
  <c r="H250" i="17" l="1"/>
  <c r="AF250" i="17" s="1"/>
  <c r="E251" i="17" s="1"/>
  <c r="AF488" i="13"/>
  <c r="E489" i="13" s="1"/>
  <c r="AS251" i="17" l="1"/>
  <c r="AF489" i="13"/>
  <c r="E490" i="13" s="1"/>
  <c r="AT251" i="17"/>
  <c r="H251" i="17" l="1"/>
  <c r="AF251" i="17" s="1"/>
  <c r="E252" i="17" s="1"/>
  <c r="AF490" i="13"/>
  <c r="E491" i="13" s="1"/>
  <c r="AS252" i="17" l="1"/>
  <c r="AF491" i="13"/>
  <c r="E492" i="13" s="1"/>
  <c r="AT252" i="17"/>
  <c r="H252" i="17" l="1"/>
  <c r="AF252" i="17" s="1"/>
  <c r="E253" i="17" s="1"/>
  <c r="AF492" i="13"/>
  <c r="E493" i="13" s="1"/>
  <c r="AS253" i="17" l="1"/>
  <c r="AF493" i="13"/>
  <c r="E494" i="13" s="1"/>
  <c r="AT253" i="17"/>
  <c r="H253" i="17" l="1"/>
  <c r="AF253" i="17" s="1"/>
  <c r="E254" i="17" s="1"/>
  <c r="AF494" i="13"/>
  <c r="E495" i="13" s="1"/>
  <c r="AS254" i="17" l="1"/>
  <c r="AF495" i="13"/>
  <c r="E496" i="13" s="1"/>
  <c r="AT254" i="17"/>
  <c r="H254" i="17" l="1"/>
  <c r="AF254" i="17" s="1"/>
  <c r="E255" i="17" s="1"/>
  <c r="AF496" i="13"/>
  <c r="E497" i="13" s="1"/>
  <c r="AS255" i="17" l="1"/>
  <c r="AF497" i="13"/>
  <c r="E498" i="13" s="1"/>
  <c r="AT255" i="17"/>
  <c r="H255" i="17" l="1"/>
  <c r="AF255" i="17" s="1"/>
  <c r="E256" i="17" s="1"/>
  <c r="AF498" i="13"/>
  <c r="E499" i="13" s="1"/>
  <c r="AS256" i="17" l="1"/>
  <c r="AF499" i="13"/>
  <c r="E500" i="13" s="1"/>
  <c r="AT256" i="17"/>
  <c r="H256" i="17" l="1"/>
  <c r="AF256" i="17" s="1"/>
  <c r="E257" i="17" s="1"/>
  <c r="AF500" i="13"/>
  <c r="E501" i="13" s="1"/>
  <c r="AS257" i="17" l="1"/>
  <c r="AF501" i="13"/>
  <c r="E502" i="13" s="1"/>
  <c r="AT257" i="17"/>
  <c r="H257" i="17" l="1"/>
  <c r="AF257" i="17" s="1"/>
  <c r="E258" i="17" s="1"/>
  <c r="AF502" i="13"/>
  <c r="E503" i="13" s="1"/>
  <c r="AS258" i="17" l="1"/>
  <c r="AF503" i="13"/>
  <c r="E504" i="13" s="1"/>
  <c r="AT258" i="17"/>
  <c r="H258" i="17" l="1"/>
  <c r="AF258" i="17" s="1"/>
  <c r="E259" i="17" s="1"/>
  <c r="AF504" i="13"/>
  <c r="E505" i="13" s="1"/>
  <c r="AS259" i="17" l="1"/>
  <c r="AF505" i="13"/>
  <c r="E506" i="13" s="1"/>
  <c r="AT259" i="17"/>
  <c r="H259" i="17" l="1"/>
  <c r="AF259" i="17" s="1"/>
  <c r="E260" i="17" s="1"/>
  <c r="AF506" i="13"/>
  <c r="E507" i="13" s="1"/>
  <c r="AS260" i="17" l="1"/>
  <c r="AF507" i="13"/>
  <c r="E508" i="13" s="1"/>
  <c r="AT260" i="17"/>
  <c r="H260" i="17" l="1"/>
  <c r="AF260" i="17" s="1"/>
  <c r="E261" i="17" s="1"/>
  <c r="AF508" i="13"/>
  <c r="E509" i="13" s="1"/>
  <c r="AS261" i="17" l="1"/>
  <c r="AF509" i="13"/>
  <c r="E510" i="13" s="1"/>
  <c r="AT261" i="17"/>
  <c r="H261" i="17" l="1"/>
  <c r="AF261" i="17" s="1"/>
  <c r="E262" i="17" s="1"/>
  <c r="AF510" i="13"/>
  <c r="E511" i="13" s="1"/>
  <c r="AS262" i="17" l="1"/>
  <c r="AF511" i="13"/>
  <c r="E512" i="13" s="1"/>
  <c r="AT262" i="17"/>
  <c r="H262" i="17" l="1"/>
  <c r="AF262" i="17" s="1"/>
  <c r="E263" i="17" s="1"/>
  <c r="AF512" i="13"/>
  <c r="E513" i="13" s="1"/>
  <c r="AS263" i="17" l="1"/>
  <c r="AF513" i="13"/>
  <c r="E514" i="13" s="1"/>
  <c r="AT263" i="17"/>
  <c r="H263" i="17" l="1"/>
  <c r="AF263" i="17" s="1"/>
  <c r="E264" i="17" s="1"/>
  <c r="AF514" i="13"/>
  <c r="E515" i="13" s="1"/>
  <c r="AS264" i="17" l="1"/>
  <c r="AF515" i="13"/>
  <c r="E516" i="13" s="1"/>
  <c r="AT264" i="17"/>
  <c r="H264" i="17" l="1"/>
  <c r="AF264" i="17" s="1"/>
  <c r="E265" i="17" s="1"/>
  <c r="AF516" i="13"/>
  <c r="E517" i="13" s="1"/>
  <c r="AS265" i="17" l="1"/>
  <c r="AF517" i="13"/>
  <c r="E518" i="13" s="1"/>
  <c r="AT265" i="17"/>
  <c r="H265" i="17" l="1"/>
  <c r="AF265" i="17" s="1"/>
  <c r="E266" i="17" s="1"/>
  <c r="AF518" i="13"/>
  <c r="E519" i="13" s="1"/>
  <c r="AS266" i="17" l="1"/>
  <c r="AF519" i="13"/>
  <c r="E520" i="13" s="1"/>
  <c r="AT266" i="17"/>
  <c r="H266" i="17" l="1"/>
  <c r="AF266" i="17" s="1"/>
  <c r="E267" i="17" s="1"/>
  <c r="AF520" i="13"/>
  <c r="E521" i="13" s="1"/>
  <c r="AS267" i="17" l="1"/>
  <c r="AF521" i="13"/>
  <c r="E522" i="13" s="1"/>
  <c r="AT267" i="17"/>
  <c r="H267" i="17" l="1"/>
  <c r="AF267" i="17" s="1"/>
  <c r="E268" i="17" s="1"/>
  <c r="AF522" i="13"/>
  <c r="E523" i="13" s="1"/>
  <c r="AS268" i="17" l="1"/>
  <c r="AF523" i="13"/>
  <c r="E524" i="13" s="1"/>
  <c r="AT268" i="17"/>
  <c r="H268" i="17" l="1"/>
  <c r="AF268" i="17" s="1"/>
  <c r="E269" i="17" s="1"/>
  <c r="AF524" i="13"/>
  <c r="E525" i="13" s="1"/>
  <c r="AS269" i="17" l="1"/>
  <c r="AF525" i="13"/>
  <c r="E526" i="13" s="1"/>
  <c r="AT269" i="17"/>
  <c r="H269" i="17" l="1"/>
  <c r="AF269" i="17" s="1"/>
  <c r="E270" i="17" s="1"/>
  <c r="AF526" i="13"/>
  <c r="E527" i="13" s="1"/>
  <c r="AS270" i="17" l="1"/>
  <c r="AF527" i="13"/>
  <c r="E528" i="13" s="1"/>
  <c r="AT270" i="17"/>
  <c r="H270" i="17" l="1"/>
  <c r="AF270" i="17" s="1"/>
  <c r="E271" i="17" s="1"/>
  <c r="AF528" i="13"/>
  <c r="E529" i="13" s="1"/>
  <c r="AS271" i="17" l="1"/>
  <c r="AF529" i="13"/>
  <c r="E530" i="13" s="1"/>
  <c r="AT271" i="17"/>
  <c r="H271" i="17" l="1"/>
  <c r="AF271" i="17" s="1"/>
  <c r="E272" i="17" s="1"/>
  <c r="AF530" i="13"/>
  <c r="E531" i="13" s="1"/>
  <c r="AS272" i="17" l="1"/>
  <c r="AF531" i="13"/>
  <c r="E532" i="13" s="1"/>
  <c r="AT272" i="17"/>
  <c r="H272" i="17" l="1"/>
  <c r="AF272" i="17" s="1"/>
  <c r="E273" i="17" s="1"/>
  <c r="AF532" i="13"/>
  <c r="E533" i="13" s="1"/>
  <c r="AS273" i="17" l="1"/>
  <c r="AF533" i="13"/>
  <c r="E534" i="13" s="1"/>
  <c r="AT273" i="17"/>
  <c r="H273" i="17" l="1"/>
  <c r="AF273" i="17" s="1"/>
  <c r="E274" i="17" s="1"/>
  <c r="AF534" i="13"/>
  <c r="E535" i="13" s="1"/>
  <c r="AS274" i="17" l="1"/>
  <c r="AF535" i="13"/>
  <c r="E536" i="13" s="1"/>
  <c r="AT274" i="17"/>
  <c r="H274" i="17" l="1"/>
  <c r="AF274" i="17" s="1"/>
  <c r="E275" i="17" s="1"/>
  <c r="AF536" i="13"/>
  <c r="E537" i="13" s="1"/>
  <c r="AS275" i="17" l="1"/>
  <c r="AF537" i="13"/>
  <c r="E538" i="13" s="1"/>
  <c r="AT275" i="17"/>
  <c r="H275" i="17" l="1"/>
  <c r="AF275" i="17" s="1"/>
  <c r="E276" i="17" s="1"/>
  <c r="AF538" i="13"/>
  <c r="E539" i="13" s="1"/>
  <c r="AS276" i="17" l="1"/>
  <c r="AF539" i="13"/>
  <c r="E540" i="13" s="1"/>
  <c r="AT276" i="17"/>
  <c r="H276" i="17" l="1"/>
  <c r="AF276" i="17" s="1"/>
  <c r="E277" i="17" s="1"/>
  <c r="AF540" i="13"/>
  <c r="E541" i="13" s="1"/>
  <c r="AS277" i="17" l="1"/>
  <c r="AF541" i="13"/>
  <c r="E542" i="13" s="1"/>
  <c r="AT277" i="17"/>
  <c r="H277" i="17" l="1"/>
  <c r="AF277" i="17" s="1"/>
  <c r="E278" i="17" s="1"/>
  <c r="AF542" i="13"/>
  <c r="E543" i="13" s="1"/>
  <c r="AS278" i="17" l="1"/>
  <c r="AF543" i="13"/>
  <c r="E544" i="13" s="1"/>
  <c r="AT278" i="17"/>
  <c r="H278" i="17" l="1"/>
  <c r="AF278" i="17" s="1"/>
  <c r="E279" i="17" s="1"/>
  <c r="AF544" i="13"/>
  <c r="E545" i="13" s="1"/>
  <c r="AS279" i="17" l="1"/>
  <c r="AF545" i="13"/>
  <c r="E546" i="13" s="1"/>
  <c r="AT279" i="17"/>
  <c r="H279" i="17" l="1"/>
  <c r="AF279" i="17" s="1"/>
  <c r="E280" i="17" s="1"/>
  <c r="AF546" i="13"/>
  <c r="E547" i="13" s="1"/>
  <c r="AS280" i="17" l="1"/>
  <c r="AF547" i="13"/>
  <c r="E548" i="13" s="1"/>
  <c r="AT280" i="17"/>
  <c r="H280" i="17" l="1"/>
  <c r="AF280" i="17" s="1"/>
  <c r="E281" i="17" s="1"/>
  <c r="AF548" i="13"/>
  <c r="E549" i="13" s="1"/>
  <c r="AS281" i="17" l="1"/>
  <c r="AF549" i="13"/>
  <c r="E550" i="13" s="1"/>
  <c r="AT281" i="17"/>
  <c r="H281" i="17" l="1"/>
  <c r="AF281" i="17" s="1"/>
  <c r="E282" i="17" s="1"/>
  <c r="AF550" i="13"/>
  <c r="E551" i="13" s="1"/>
  <c r="AS282" i="17" l="1"/>
  <c r="AF551" i="13"/>
  <c r="E552" i="13" s="1"/>
  <c r="AT282" i="17"/>
  <c r="H282" i="17" l="1"/>
  <c r="AF282" i="17" s="1"/>
  <c r="E283" i="17" s="1"/>
  <c r="AF552" i="13"/>
  <c r="E553" i="13" s="1"/>
  <c r="AS283" i="17" l="1"/>
  <c r="AF553" i="13"/>
  <c r="E554" i="13" s="1"/>
  <c r="AT283" i="17"/>
  <c r="H283" i="17" l="1"/>
  <c r="AF283" i="17" s="1"/>
  <c r="E284" i="17" s="1"/>
  <c r="AF554" i="13"/>
  <c r="E555" i="13" s="1"/>
  <c r="AS284" i="17" l="1"/>
  <c r="AF555" i="13"/>
  <c r="E556" i="13" s="1"/>
  <c r="AT284" i="17"/>
  <c r="H284" i="17" l="1"/>
  <c r="AF284" i="17" s="1"/>
  <c r="E285" i="17" s="1"/>
  <c r="AF556" i="13"/>
  <c r="E557" i="13" s="1"/>
  <c r="AS285" i="17" l="1"/>
  <c r="AF557" i="13"/>
  <c r="E558" i="13" s="1"/>
  <c r="AT285" i="17"/>
  <c r="H285" i="17" l="1"/>
  <c r="AF285" i="17" s="1"/>
  <c r="E286" i="17" s="1"/>
  <c r="AF558" i="13"/>
  <c r="E559" i="13" s="1"/>
  <c r="AS286" i="17" l="1"/>
  <c r="AF559" i="13"/>
  <c r="E560" i="13" s="1"/>
  <c r="AT286" i="17"/>
  <c r="H286" i="17" l="1"/>
  <c r="AF286" i="17" s="1"/>
  <c r="E287" i="17" s="1"/>
  <c r="AF560" i="13"/>
  <c r="E561" i="13" s="1"/>
  <c r="AS287" i="17" l="1"/>
  <c r="AF561" i="13"/>
  <c r="E562" i="13" s="1"/>
  <c r="AT287" i="17"/>
  <c r="H287" i="17" l="1"/>
  <c r="AF287" i="17" s="1"/>
  <c r="E288" i="17" s="1"/>
  <c r="AF562" i="13"/>
  <c r="E563" i="13" s="1"/>
  <c r="AS288" i="17" l="1"/>
  <c r="AF563" i="13"/>
  <c r="E564" i="13" s="1"/>
  <c r="AT288" i="17"/>
  <c r="H288" i="17" l="1"/>
  <c r="AF288" i="17" s="1"/>
  <c r="E289" i="17" s="1"/>
  <c r="AF564" i="13"/>
  <c r="E565" i="13" s="1"/>
  <c r="AS289" i="17" l="1"/>
  <c r="AF565" i="13"/>
  <c r="E566" i="13" s="1"/>
  <c r="AT289" i="17"/>
  <c r="H289" i="17" l="1"/>
  <c r="AF289" i="17" s="1"/>
  <c r="E290" i="17" s="1"/>
  <c r="AF566" i="13"/>
  <c r="E567" i="13" s="1"/>
  <c r="AS290" i="17" l="1"/>
  <c r="AF567" i="13"/>
  <c r="E568" i="13" s="1"/>
  <c r="AT290" i="17"/>
  <c r="H290" i="17" l="1"/>
  <c r="AF290" i="17" s="1"/>
  <c r="E291" i="17" s="1"/>
  <c r="AF568" i="13"/>
  <c r="E569" i="13" s="1"/>
  <c r="AS291" i="17" l="1"/>
  <c r="AF569" i="13"/>
  <c r="E570" i="13" s="1"/>
  <c r="AT291" i="17"/>
  <c r="H291" i="17" l="1"/>
  <c r="AF291" i="17" s="1"/>
  <c r="E292" i="17" s="1"/>
  <c r="AF570" i="13"/>
  <c r="E571" i="13" s="1"/>
  <c r="AS292" i="17" l="1"/>
  <c r="AF571" i="13"/>
  <c r="E572" i="13" s="1"/>
  <c r="AT292" i="17"/>
  <c r="H292" i="17" l="1"/>
  <c r="AF292" i="17" s="1"/>
  <c r="E293" i="17" s="1"/>
  <c r="AF572" i="13"/>
  <c r="E573" i="13" s="1"/>
  <c r="AS293" i="17" l="1"/>
  <c r="AF573" i="13"/>
  <c r="E574" i="13" s="1"/>
  <c r="AT293" i="17"/>
  <c r="H293" i="17" l="1"/>
  <c r="AF293" i="17" s="1"/>
  <c r="E294" i="17" s="1"/>
  <c r="AF574" i="13"/>
  <c r="E575" i="13" s="1"/>
  <c r="AS294" i="17" l="1"/>
  <c r="AF575" i="13"/>
  <c r="E576" i="13" s="1"/>
  <c r="AT294" i="17"/>
  <c r="H294" i="17" l="1"/>
  <c r="AF294" i="17" s="1"/>
  <c r="E295" i="17" s="1"/>
  <c r="AF576" i="13"/>
  <c r="E577" i="13" s="1"/>
  <c r="AS295" i="17" l="1"/>
  <c r="AF577" i="13"/>
  <c r="E578" i="13" s="1"/>
  <c r="AT295" i="17"/>
  <c r="H295" i="17" l="1"/>
  <c r="AF295" i="17" s="1"/>
  <c r="E296" i="17" s="1"/>
  <c r="AF578" i="13"/>
  <c r="E579" i="13" s="1"/>
  <c r="AS296" i="17" l="1"/>
  <c r="AF579" i="13"/>
  <c r="E580" i="13" s="1"/>
  <c r="AT296" i="17"/>
  <c r="H296" i="17" l="1"/>
  <c r="AF296" i="17" s="1"/>
  <c r="E297" i="17" s="1"/>
  <c r="AF580" i="13"/>
  <c r="E581" i="13" s="1"/>
  <c r="AS297" i="17" l="1"/>
  <c r="AF581" i="13"/>
  <c r="E582" i="13" s="1"/>
  <c r="AT297" i="17"/>
  <c r="H297" i="17" l="1"/>
  <c r="AF297" i="17" s="1"/>
  <c r="E298" i="17" s="1"/>
  <c r="AF582" i="13"/>
  <c r="E583" i="13" s="1"/>
  <c r="AS298" i="17" l="1"/>
  <c r="AF583" i="13"/>
  <c r="E584" i="13" s="1"/>
  <c r="AT298" i="17"/>
  <c r="H298" i="17" l="1"/>
  <c r="AF298" i="17" s="1"/>
  <c r="E299" i="17" s="1"/>
  <c r="AF584" i="13"/>
  <c r="E585" i="13" s="1"/>
  <c r="AS299" i="17" l="1"/>
  <c r="AF585" i="13"/>
  <c r="E586" i="13" s="1"/>
  <c r="AT299" i="17"/>
  <c r="H299" i="17" l="1"/>
  <c r="AF299" i="17" s="1"/>
  <c r="E300" i="17" s="1"/>
  <c r="AF586" i="13"/>
  <c r="E587" i="13" s="1"/>
  <c r="AS300" i="17" l="1"/>
  <c r="AF587" i="13"/>
  <c r="E588" i="13" s="1"/>
  <c r="AT300" i="17"/>
  <c r="H300" i="17" l="1"/>
  <c r="AF300" i="17" s="1"/>
  <c r="E301" i="17" s="1"/>
  <c r="AF588" i="13"/>
  <c r="E589" i="13" s="1"/>
  <c r="AS301" i="17" l="1"/>
  <c r="AF589" i="13"/>
  <c r="E590" i="13" s="1"/>
  <c r="AT301" i="17"/>
  <c r="H301" i="17" l="1"/>
  <c r="AF301" i="17" s="1"/>
  <c r="E302" i="17" s="1"/>
  <c r="AF590" i="13"/>
  <c r="E591" i="13" s="1"/>
  <c r="AS302" i="17" l="1"/>
  <c r="AF591" i="13"/>
  <c r="E592" i="13" s="1"/>
  <c r="AT302" i="17"/>
  <c r="H302" i="17" l="1"/>
  <c r="AF302" i="17" s="1"/>
  <c r="E303" i="17" s="1"/>
  <c r="AF592" i="13"/>
  <c r="E593" i="13" s="1"/>
  <c r="AS303" i="17" l="1"/>
  <c r="AF593" i="13"/>
  <c r="E594" i="13" s="1"/>
  <c r="AT303" i="17"/>
  <c r="H303" i="17" l="1"/>
  <c r="AF303" i="17" s="1"/>
  <c r="E304" i="17" s="1"/>
  <c r="AF594" i="13"/>
  <c r="E595" i="13" s="1"/>
  <c r="AS304" i="17" l="1"/>
  <c r="AF595" i="13"/>
  <c r="E596" i="13" s="1"/>
  <c r="AT304" i="17"/>
  <c r="H304" i="17" l="1"/>
  <c r="AF304" i="17" s="1"/>
  <c r="E305" i="17" s="1"/>
  <c r="AF596" i="13"/>
  <c r="E597" i="13" s="1"/>
  <c r="AS305" i="17" l="1"/>
  <c r="AF597" i="13"/>
  <c r="E598" i="13" s="1"/>
  <c r="AT305" i="17"/>
  <c r="H305" i="17" l="1"/>
  <c r="AF305" i="17" s="1"/>
  <c r="E306" i="17" s="1"/>
  <c r="AF598" i="13"/>
  <c r="E599" i="13" s="1"/>
  <c r="AS306" i="17" l="1"/>
  <c r="AF599" i="13"/>
  <c r="E600" i="13" s="1"/>
  <c r="AT306" i="17"/>
  <c r="H306" i="17" l="1"/>
  <c r="AF306" i="17" s="1"/>
  <c r="E307" i="17" s="1"/>
  <c r="AF600" i="13"/>
  <c r="E601" i="13" s="1"/>
  <c r="AS307" i="17" l="1"/>
  <c r="AF601" i="13"/>
  <c r="E602" i="13" s="1"/>
  <c r="AT307" i="17"/>
  <c r="H307" i="17" l="1"/>
  <c r="AF307" i="17" s="1"/>
  <c r="E308" i="17" s="1"/>
  <c r="AF602" i="13"/>
  <c r="E603" i="13" s="1"/>
  <c r="AS308" i="17" l="1"/>
  <c r="AF603" i="13"/>
  <c r="E604" i="13" s="1"/>
  <c r="AT308" i="17"/>
  <c r="H308" i="17" l="1"/>
  <c r="AF308" i="17" s="1"/>
  <c r="E309" i="17" s="1"/>
  <c r="AF604" i="13"/>
  <c r="E605" i="13" s="1"/>
  <c r="AS309" i="17" l="1"/>
  <c r="AF605" i="13"/>
  <c r="E606" i="13" s="1"/>
  <c r="AT309" i="17"/>
  <c r="H309" i="17" l="1"/>
  <c r="AF309" i="17" s="1"/>
  <c r="E310" i="17" s="1"/>
  <c r="AF606" i="13"/>
  <c r="E607" i="13" s="1"/>
  <c r="AS310" i="17" l="1"/>
  <c r="AF607" i="13"/>
  <c r="E608" i="13" s="1"/>
  <c r="AT310" i="17"/>
  <c r="H310" i="17" l="1"/>
  <c r="AF310" i="17" s="1"/>
  <c r="E311" i="17" s="1"/>
  <c r="AF608" i="13"/>
  <c r="E609" i="13" s="1"/>
  <c r="AS311" i="17" l="1"/>
  <c r="AF609" i="13"/>
  <c r="E610" i="13" s="1"/>
  <c r="AT311" i="17"/>
  <c r="H311" i="17" l="1"/>
  <c r="AF311" i="17" s="1"/>
  <c r="E312" i="17" s="1"/>
  <c r="AF610" i="13"/>
  <c r="E611" i="13" s="1"/>
  <c r="AF611" i="13" s="1"/>
  <c r="AS312" i="17" l="1"/>
  <c r="C38" i="12"/>
  <c r="C11" i="12"/>
  <c r="X52" i="12"/>
  <c r="X51" i="12"/>
  <c r="X50" i="12"/>
  <c r="O47" i="12"/>
  <c r="I47" i="12" a="1"/>
  <c r="I47" i="12" s="1"/>
  <c r="A47" i="12"/>
  <c r="O46" i="12"/>
  <c r="I46" i="12" a="1"/>
  <c r="I46" i="12" s="1"/>
  <c r="A46" i="12"/>
  <c r="AG45" i="12"/>
  <c r="AE45" i="12"/>
  <c r="O45" i="12"/>
  <c r="I45" i="12" a="1"/>
  <c r="I45" i="12" s="1"/>
  <c r="A45" i="12"/>
  <c r="AE44" i="12"/>
  <c r="O44" i="12"/>
  <c r="I44" i="12" a="1"/>
  <c r="I44" i="12" s="1"/>
  <c r="A44" i="12"/>
  <c r="AE43" i="12"/>
  <c r="O43" i="12"/>
  <c r="I43" i="12" a="1"/>
  <c r="I43" i="12" s="1"/>
  <c r="A43" i="12"/>
  <c r="AE42" i="12"/>
  <c r="O42" i="12"/>
  <c r="I42" i="12" a="1"/>
  <c r="I42" i="12" s="1"/>
  <c r="A42" i="12"/>
  <c r="AE41" i="12"/>
  <c r="O41" i="12"/>
  <c r="I41" i="12" a="1"/>
  <c r="I41" i="12" s="1"/>
  <c r="A41" i="12"/>
  <c r="AE40" i="12"/>
  <c r="O40" i="12"/>
  <c r="I40" i="12" a="1"/>
  <c r="I40" i="12" s="1"/>
  <c r="A40" i="12"/>
  <c r="AD39" i="12"/>
  <c r="O39" i="12"/>
  <c r="I39" i="12" a="1"/>
  <c r="I39" i="12" s="1"/>
  <c r="A39" i="12"/>
  <c r="AE38" i="12"/>
  <c r="O38" i="12"/>
  <c r="I38" i="12" a="1"/>
  <c r="I38" i="12" s="1"/>
  <c r="A38" i="12"/>
  <c r="AE37" i="12"/>
  <c r="AE36" i="12"/>
  <c r="AD35" i="12"/>
  <c r="AG34" i="12"/>
  <c r="AE34" i="12"/>
  <c r="X34" i="12"/>
  <c r="V34" i="12"/>
  <c r="O34" i="12" s="1"/>
  <c r="I34" i="12" a="1"/>
  <c r="I34" i="12" s="1"/>
  <c r="A34" i="12"/>
  <c r="AE33" i="12"/>
  <c r="X33" i="12"/>
  <c r="V33" i="12"/>
  <c r="O33" i="12"/>
  <c r="I33" i="12" a="1"/>
  <c r="I33" i="12" s="1"/>
  <c r="A33" i="12"/>
  <c r="AD32" i="12"/>
  <c r="X32" i="12"/>
  <c r="V32" i="12"/>
  <c r="O32" i="12"/>
  <c r="I32" i="12" a="1"/>
  <c r="I32" i="12" s="1"/>
  <c r="A32" i="12"/>
  <c r="X31" i="12"/>
  <c r="V31" i="12"/>
  <c r="O31" i="12"/>
  <c r="I31" i="12" a="1"/>
  <c r="I31" i="12" s="1"/>
  <c r="A31" i="12"/>
  <c r="X30" i="12"/>
  <c r="V30" i="12"/>
  <c r="O30" i="12" s="1"/>
  <c r="I30" i="12" a="1"/>
  <c r="I30" i="12" s="1"/>
  <c r="A30" i="12"/>
  <c r="X29" i="12"/>
  <c r="V29" i="12"/>
  <c r="O29" i="12"/>
  <c r="I29" i="12" a="1"/>
  <c r="I29" i="12" s="1"/>
  <c r="A29" i="12"/>
  <c r="X28" i="12"/>
  <c r="V28" i="12"/>
  <c r="O28" i="12" s="1"/>
  <c r="I28" i="12" a="1"/>
  <c r="I28" i="12" s="1"/>
  <c r="A28" i="12"/>
  <c r="AE27" i="12"/>
  <c r="X27" i="12"/>
  <c r="V27" i="12"/>
  <c r="O27" i="12"/>
  <c r="I27" i="12" a="1"/>
  <c r="I27" i="12" s="1"/>
  <c r="A27" i="12"/>
  <c r="AE26" i="12"/>
  <c r="X26" i="12"/>
  <c r="V26" i="12"/>
  <c r="O26" i="12" s="1"/>
  <c r="J26" i="12"/>
  <c r="I26" i="12" a="1"/>
  <c r="I26" i="12" s="1"/>
  <c r="A26" i="12"/>
  <c r="AE25" i="12"/>
  <c r="X25" i="12"/>
  <c r="V25" i="12"/>
  <c r="O25" i="12" s="1"/>
  <c r="J25" i="12"/>
  <c r="I25" i="12" a="1"/>
  <c r="I25" i="12" s="1"/>
  <c r="A25" i="12"/>
  <c r="AE24" i="12"/>
  <c r="X24" i="12"/>
  <c r="V24" i="12"/>
  <c r="O24" i="12" s="1"/>
  <c r="J24" i="12"/>
  <c r="AG38" i="12" s="1"/>
  <c r="I24" i="12" a="1"/>
  <c r="I24" i="12" s="1"/>
  <c r="A24" i="12"/>
  <c r="AE23" i="12"/>
  <c r="X23" i="12"/>
  <c r="V23" i="12"/>
  <c r="O23" i="12" s="1"/>
  <c r="I23" i="12" a="1"/>
  <c r="I23" i="12" s="1"/>
  <c r="A23" i="12"/>
  <c r="AD22" i="12"/>
  <c r="X22" i="12"/>
  <c r="V22" i="12"/>
  <c r="O22" i="12" s="1"/>
  <c r="I22" i="12" a="1"/>
  <c r="I22" i="12" s="1"/>
  <c r="A22" i="12"/>
  <c r="AG21" i="12" a="1"/>
  <c r="AG21" i="12" s="1"/>
  <c r="AE21" i="12"/>
  <c r="X21" i="12"/>
  <c r="V21" i="12"/>
  <c r="O21" i="12" s="1"/>
  <c r="J21" i="12"/>
  <c r="I21" i="12" a="1"/>
  <c r="I21" i="12" s="1"/>
  <c r="A21" i="12"/>
  <c r="AE20" i="12"/>
  <c r="X20" i="12"/>
  <c r="V20" i="12"/>
  <c r="O20" i="12" s="1"/>
  <c r="J20" i="12"/>
  <c r="I20" i="12" a="1"/>
  <c r="I20" i="12" s="1"/>
  <c r="A20" i="12"/>
  <c r="AD19" i="12"/>
  <c r="X19" i="12"/>
  <c r="V19" i="12"/>
  <c r="O19" i="12"/>
  <c r="J19" i="12"/>
  <c r="I19" i="12" a="1"/>
  <c r="I19" i="12" s="1"/>
  <c r="A19" i="12"/>
  <c r="X18" i="12"/>
  <c r="V18" i="12"/>
  <c r="O18" i="12" s="1"/>
  <c r="N18" i="12"/>
  <c r="J18" i="12"/>
  <c r="I18" i="12" a="1"/>
  <c r="I18" i="12" s="1"/>
  <c r="A18" i="12"/>
  <c r="X17" i="12"/>
  <c r="W17" i="12"/>
  <c r="V17" i="12"/>
  <c r="I17" i="12" a="1"/>
  <c r="I17" i="12" s="1"/>
  <c r="A17" i="12"/>
  <c r="X16" i="12"/>
  <c r="J16" i="12"/>
  <c r="I16" i="12" a="1"/>
  <c r="I16" i="12" s="1"/>
  <c r="A16" i="12"/>
  <c r="X15" i="12"/>
  <c r="J15" i="12"/>
  <c r="I15" i="12" a="1"/>
  <c r="I15" i="12" s="1"/>
  <c r="A15" i="12"/>
  <c r="X14" i="12"/>
  <c r="J14" i="12"/>
  <c r="I14" i="12" a="1"/>
  <c r="I14" i="12" s="1"/>
  <c r="A14" i="12"/>
  <c r="X13" i="12"/>
  <c r="I13" i="12" a="1"/>
  <c r="I13" i="12" s="1"/>
  <c r="A13" i="12"/>
  <c r="O12" i="12"/>
  <c r="I12" i="12" a="1"/>
  <c r="I12" i="12" s="1"/>
  <c r="A12" i="12"/>
  <c r="O11" i="12"/>
  <c r="J11" i="12"/>
  <c r="I11" i="12" a="1"/>
  <c r="I11" i="12" s="1"/>
  <c r="A11" i="12"/>
  <c r="AG10" i="12"/>
  <c r="AG14" i="12" s="1"/>
  <c r="O10" i="12"/>
  <c r="J10" i="12"/>
  <c r="I10" i="12" a="1"/>
  <c r="I10" i="12" s="1"/>
  <c r="A10" i="12"/>
  <c r="X9" i="12"/>
  <c r="J9" i="12"/>
  <c r="I9" i="12"/>
  <c r="AD8" i="12"/>
  <c r="AT312" i="17"/>
  <c r="AG37" i="12" l="1"/>
  <c r="H312" i="17"/>
  <c r="AF312" i="17" s="1"/>
  <c r="E313" i="17" s="1"/>
  <c r="AG36" i="12"/>
  <c r="O17" i="12"/>
  <c r="AG24" i="12" s="1"/>
  <c r="AG9" i="12"/>
  <c r="AG13" i="12" s="1"/>
  <c r="AG25" i="12"/>
  <c r="AG33" i="12"/>
  <c r="AG27" i="12"/>
  <c r="AG20" i="12"/>
  <c r="AG42" i="12"/>
  <c r="AG44" i="12"/>
  <c r="O9" i="12"/>
  <c r="AG40" i="12" s="1"/>
  <c r="Q38" i="12" a="1"/>
  <c r="Q38" i="12" s="1"/>
  <c r="AG26" i="12"/>
  <c r="AG43" i="12"/>
  <c r="W18" i="12"/>
  <c r="AS313" i="17" l="1"/>
  <c r="AG41" i="12"/>
  <c r="AG31" i="12" s="1"/>
  <c r="AG23" i="12"/>
  <c r="AG18" i="12" s="1"/>
  <c r="W19" i="12"/>
  <c r="W20" i="12" s="1"/>
  <c r="Q39" i="12" a="1"/>
  <c r="Q39" i="12" s="1"/>
  <c r="Q40" i="12" s="1" a="1"/>
  <c r="Q40" i="12" s="1"/>
  <c r="AT313" i="17"/>
  <c r="H313" i="17" l="1"/>
  <c r="AF313" i="17" s="1"/>
  <c r="E314" i="17" s="1"/>
  <c r="Q41" i="12" a="1"/>
  <c r="Q41" i="12" s="1"/>
  <c r="W21" i="12"/>
  <c r="AS314" i="17" l="1"/>
  <c r="Q42" i="12" a="1"/>
  <c r="Q42" i="12" s="1"/>
  <c r="W22" i="12"/>
  <c r="W23" i="12" s="1"/>
  <c r="W24" i="12" s="1"/>
  <c r="AT314" i="17"/>
  <c r="H314" i="17" l="1"/>
  <c r="AF314" i="17" s="1"/>
  <c r="E315" i="17" s="1"/>
  <c r="Q43" i="12" a="1"/>
  <c r="Q43" i="12" s="1"/>
  <c r="Q44" i="12" s="1" a="1"/>
  <c r="Q44" i="12" s="1"/>
  <c r="Q45" i="12" s="1" a="1"/>
  <c r="Q45" i="12" s="1"/>
  <c r="W25" i="12"/>
  <c r="W26" i="12" s="1"/>
  <c r="W27" i="12" s="1"/>
  <c r="AS315" i="17" l="1"/>
  <c r="W28" i="12"/>
  <c r="W29" i="12" s="1"/>
  <c r="W30" i="12" s="1"/>
  <c r="W31" i="12" s="1"/>
  <c r="W32" i="12" s="1"/>
  <c r="W33" i="12" s="1"/>
  <c r="W34" i="12" s="1"/>
  <c r="Q46" i="12" a="1"/>
  <c r="Q46" i="12" s="1"/>
  <c r="Q47" i="12" s="1" a="1"/>
  <c r="Q47" i="12" s="1"/>
  <c r="AT315" i="17"/>
  <c r="H315" i="17" l="1"/>
  <c r="AF315" i="17" s="1"/>
  <c r="E316" i="17" s="1"/>
  <c r="AS316" i="17" l="1"/>
  <c r="AT316" i="17"/>
  <c r="H316" i="17" l="1"/>
  <c r="AF316" i="17" s="1"/>
  <c r="E317" i="17" s="1"/>
  <c r="AS317" i="17" l="1"/>
  <c r="AT317" i="17"/>
  <c r="H317" i="17" l="1"/>
  <c r="AF317" i="17" s="1"/>
  <c r="E318" i="17" s="1"/>
  <c r="AS318" i="17" l="1"/>
  <c r="AT318" i="17"/>
  <c r="H318" i="17" l="1"/>
  <c r="AF318" i="17" s="1"/>
  <c r="E319" i="17" s="1"/>
  <c r="AS319" i="17" l="1"/>
  <c r="AT319" i="17"/>
  <c r="H319" i="17" l="1"/>
  <c r="AF319" i="17" s="1"/>
  <c r="E320" i="17" s="1"/>
  <c r="AS320" i="17" l="1"/>
  <c r="AT320" i="17"/>
  <c r="H320" i="17" l="1"/>
  <c r="AF320" i="17" s="1"/>
  <c r="E321" i="17" s="1"/>
  <c r="AS321" i="17" l="1"/>
  <c r="AT321" i="17"/>
  <c r="H321" i="17" l="1"/>
  <c r="AF321" i="17" s="1"/>
  <c r="E322" i="17" s="1"/>
  <c r="AS322" i="17" l="1"/>
  <c r="AT322" i="17"/>
  <c r="H322" i="17" l="1"/>
  <c r="AF322" i="17" s="1"/>
  <c r="E323" i="17" s="1"/>
  <c r="AS323" i="17" l="1"/>
  <c r="AT323" i="17"/>
  <c r="H323" i="17" l="1"/>
  <c r="AF323" i="17" s="1"/>
  <c r="E324" i="17" s="1"/>
  <c r="AS324" i="17" l="1"/>
  <c r="AT324" i="17"/>
  <c r="H324" i="17" l="1"/>
  <c r="AF324" i="17" s="1"/>
  <c r="E325" i="17" s="1"/>
  <c r="AS325" i="17" l="1"/>
  <c r="AT325" i="17"/>
  <c r="H325" i="17" l="1"/>
  <c r="AF325" i="17" s="1"/>
  <c r="E326" i="17" s="1"/>
  <c r="AS326" i="17" l="1"/>
  <c r="AT326" i="17"/>
  <c r="H326" i="17" l="1"/>
  <c r="AF326" i="17" s="1"/>
  <c r="E327" i="17" s="1"/>
  <c r="AS327" i="17" l="1"/>
  <c r="AT327" i="17"/>
  <c r="H327" i="17" l="1"/>
  <c r="AF327" i="17" s="1"/>
  <c r="E328" i="17" s="1"/>
  <c r="AS328" i="17" l="1"/>
  <c r="AT328" i="17"/>
  <c r="H328" i="17" l="1"/>
  <c r="AF328" i="17" s="1"/>
  <c r="E329" i="17" s="1"/>
  <c r="AS329" i="17" l="1"/>
  <c r="AT329" i="17"/>
  <c r="H329" i="17" l="1"/>
  <c r="AF329" i="17" s="1"/>
  <c r="E330" i="17" s="1"/>
  <c r="AS330" i="17" l="1"/>
  <c r="AT330" i="17"/>
  <c r="H330" i="17" l="1"/>
  <c r="AF330" i="17" s="1"/>
  <c r="E331" i="17" s="1"/>
  <c r="AS331" i="17" l="1"/>
  <c r="AT331" i="17"/>
  <c r="H331" i="17" l="1"/>
  <c r="AF331" i="17" s="1"/>
  <c r="E332" i="17" s="1"/>
  <c r="AS332" i="17" l="1"/>
  <c r="AT332" i="17"/>
  <c r="H332" i="17" l="1"/>
  <c r="AF332" i="17" s="1"/>
  <c r="E333" i="17" s="1"/>
  <c r="AS333" i="17" l="1"/>
  <c r="AT333" i="17"/>
  <c r="H333" i="17" l="1"/>
  <c r="AF333" i="17" s="1"/>
  <c r="E334" i="17" s="1"/>
  <c r="AS334" i="17" l="1"/>
  <c r="AT334" i="17"/>
  <c r="H334" i="17" l="1"/>
  <c r="AF334" i="17" s="1"/>
  <c r="E335" i="17" s="1"/>
  <c r="AS335" i="17" l="1"/>
  <c r="AT335" i="17"/>
  <c r="H335" i="17" l="1"/>
  <c r="AF335" i="17" s="1"/>
  <c r="E336" i="17" s="1"/>
  <c r="AS336" i="17" l="1"/>
  <c r="AT336" i="17"/>
  <c r="H336" i="17" l="1"/>
  <c r="AF336" i="17" s="1"/>
  <c r="E337" i="17" s="1"/>
  <c r="AS337" i="17" l="1"/>
  <c r="AT337" i="17"/>
  <c r="H337" i="17" l="1"/>
  <c r="AF337" i="17" s="1"/>
  <c r="E338" i="17" s="1"/>
  <c r="AS338" i="17" l="1"/>
  <c r="AT338" i="17"/>
  <c r="H338" i="17" l="1"/>
  <c r="AF338" i="17" s="1"/>
  <c r="E339" i="17" s="1"/>
  <c r="AS339" i="17" l="1"/>
  <c r="AT339" i="17"/>
  <c r="H339" i="17" l="1"/>
  <c r="AF339" i="17" s="1"/>
  <c r="E340" i="17" s="1"/>
  <c r="AS340" i="17" l="1"/>
  <c r="AT340" i="17"/>
  <c r="H340" i="17" l="1"/>
  <c r="AF340" i="17" s="1"/>
  <c r="E341" i="17" s="1"/>
  <c r="AS341" i="17" l="1"/>
  <c r="AT341" i="17"/>
  <c r="H341" i="17" l="1"/>
  <c r="AF341" i="17" s="1"/>
  <c r="E342" i="17" s="1"/>
  <c r="AS342" i="17" l="1"/>
  <c r="AT342" i="17"/>
  <c r="H342" i="17" l="1"/>
  <c r="AF342" i="17" s="1"/>
  <c r="E343" i="17" s="1"/>
  <c r="AS343" i="17" l="1"/>
  <c r="AT343" i="17"/>
  <c r="H343" i="17" l="1"/>
  <c r="AF343" i="17" s="1"/>
  <c r="E344" i="17" s="1"/>
  <c r="AS344" i="17" l="1"/>
  <c r="AT344" i="17"/>
  <c r="H344" i="17" l="1"/>
  <c r="AF344" i="17" s="1"/>
  <c r="E345" i="17" s="1"/>
  <c r="AS345" i="17" l="1"/>
  <c r="AT345" i="17"/>
  <c r="H345" i="17" l="1"/>
  <c r="AF345" i="17" s="1"/>
  <c r="E346" i="17" s="1"/>
  <c r="AS346" i="17" l="1"/>
  <c r="AT346" i="17"/>
  <c r="H346" i="17" l="1"/>
  <c r="AF346" i="17" s="1"/>
  <c r="E347" i="17" s="1"/>
  <c r="AS347" i="17" l="1"/>
  <c r="AT347" i="17"/>
  <c r="H347" i="17" l="1"/>
  <c r="AF347" i="17" s="1"/>
  <c r="E348" i="17" s="1"/>
  <c r="AS348" i="17" l="1"/>
  <c r="AT348" i="17"/>
  <c r="H348" i="17" l="1"/>
  <c r="AF348" i="17" s="1"/>
  <c r="E349" i="17" s="1"/>
  <c r="AS349" i="17" l="1"/>
  <c r="AT349" i="17"/>
  <c r="H349" i="17" l="1"/>
  <c r="AF349" i="17" s="1"/>
  <c r="E350" i="17" s="1"/>
  <c r="AS350" i="17" l="1"/>
  <c r="AT350" i="17"/>
  <c r="H350" i="17" l="1"/>
  <c r="AF350" i="17" s="1"/>
  <c r="E351" i="17" s="1"/>
  <c r="AS351" i="17" l="1"/>
  <c r="AT351" i="17"/>
  <c r="H351" i="17" l="1"/>
  <c r="AF351" i="17" s="1"/>
  <c r="E352" i="17" s="1"/>
  <c r="AS352" i="17" l="1"/>
  <c r="AT352" i="17"/>
  <c r="H352" i="17" l="1"/>
  <c r="AF352" i="17" s="1"/>
  <c r="E353" i="17" s="1"/>
  <c r="AS353" i="17" l="1"/>
  <c r="AT353" i="17"/>
  <c r="H353" i="17" l="1"/>
  <c r="AF353" i="17" s="1"/>
  <c r="E354" i="17" s="1"/>
  <c r="AS354" i="17" l="1"/>
  <c r="AT354" i="17"/>
  <c r="H354" i="17" l="1"/>
  <c r="AF354" i="17" s="1"/>
  <c r="E355" i="17" s="1"/>
  <c r="AS355" i="17" l="1"/>
  <c r="AT355" i="17"/>
  <c r="H355" i="17" l="1"/>
  <c r="AF355" i="17" s="1"/>
  <c r="E356" i="17" s="1"/>
  <c r="AS356" i="17" l="1"/>
  <c r="AT356" i="17"/>
  <c r="H356" i="17" l="1"/>
  <c r="AF356" i="17" s="1"/>
  <c r="E357" i="17" s="1"/>
  <c r="AS357" i="17" l="1"/>
  <c r="AT357" i="17"/>
  <c r="H357" i="17" l="1"/>
  <c r="AF357" i="17" s="1"/>
  <c r="E358" i="17" s="1"/>
  <c r="AS358" i="17" l="1"/>
  <c r="AT358" i="17"/>
  <c r="H358" i="17" l="1"/>
  <c r="AF358" i="17" s="1"/>
  <c r="E359" i="17" s="1"/>
  <c r="AS359" i="17" l="1"/>
  <c r="AT359" i="17"/>
  <c r="H359" i="17" l="1"/>
  <c r="AF359" i="17" s="1"/>
  <c r="E360" i="17" s="1"/>
  <c r="AS360" i="17" l="1"/>
  <c r="AT360" i="17"/>
  <c r="H360" i="17" l="1"/>
  <c r="AF360" i="17" s="1"/>
  <c r="E361" i="17" s="1"/>
  <c r="AS361" i="17" l="1"/>
  <c r="AT361" i="17"/>
  <c r="H361" i="17" l="1"/>
  <c r="AF361" i="17" s="1"/>
  <c r="E362" i="17" s="1"/>
  <c r="AS362" i="17" l="1"/>
  <c r="AT362" i="17"/>
  <c r="H362" i="17" l="1"/>
  <c r="AF362" i="17" s="1"/>
  <c r="E363" i="17" s="1"/>
  <c r="AS363" i="17" l="1"/>
  <c r="AT363" i="17"/>
  <c r="H363" i="17" l="1"/>
  <c r="AF363" i="17" s="1"/>
  <c r="E364" i="17" s="1"/>
  <c r="AS364" i="17" l="1"/>
  <c r="AT364" i="17"/>
  <c r="H364" i="17" l="1"/>
  <c r="AF364" i="17" s="1"/>
  <c r="E365" i="17" s="1"/>
  <c r="AS365" i="17" l="1"/>
  <c r="AT365" i="17"/>
  <c r="H365" i="17" l="1"/>
  <c r="AF365" i="17" s="1"/>
  <c r="E366" i="17" s="1"/>
  <c r="AS366" i="17" l="1"/>
  <c r="AT366" i="17"/>
  <c r="H366" i="17" l="1"/>
  <c r="AF366" i="17" s="1"/>
  <c r="E367" i="17" s="1"/>
  <c r="AS367" i="17" l="1"/>
  <c r="AT367" i="17"/>
  <c r="H367" i="17" l="1"/>
  <c r="AF367" i="17" s="1"/>
  <c r="E368" i="17" s="1"/>
  <c r="AS368" i="17" l="1"/>
  <c r="AT368" i="17"/>
  <c r="H368" i="17" l="1"/>
  <c r="AF368" i="17" s="1"/>
  <c r="E369" i="17" s="1"/>
  <c r="AS369" i="17" l="1"/>
  <c r="AT369" i="17"/>
  <c r="H369" i="17" l="1"/>
  <c r="AF369" i="17" s="1"/>
  <c r="E370" i="17" s="1"/>
  <c r="AS370" i="17" l="1"/>
  <c r="AT370" i="17"/>
  <c r="H370" i="17" l="1"/>
  <c r="AF370" i="17" s="1"/>
  <c r="E371" i="17" s="1"/>
  <c r="AS371" i="17" l="1"/>
  <c r="AT371" i="17"/>
  <c r="H371" i="17" l="1"/>
  <c r="AF371" i="17" s="1"/>
  <c r="E372" i="17" s="1"/>
  <c r="AS372" i="17" l="1"/>
  <c r="AT372" i="17"/>
  <c r="H372" i="17" l="1"/>
  <c r="AF372" i="17" s="1"/>
  <c r="E373" i="17" s="1"/>
  <c r="AS373" i="17" l="1"/>
  <c r="AT373" i="17"/>
  <c r="H373" i="17" l="1"/>
  <c r="AF373" i="17" s="1"/>
  <c r="E374" i="17" s="1"/>
  <c r="AS374" i="17" l="1"/>
  <c r="AT374" i="17"/>
  <c r="H374" i="17" l="1"/>
  <c r="AF374" i="17" s="1"/>
  <c r="E375" i="17" s="1"/>
  <c r="AS375" i="17" l="1"/>
  <c r="AT375" i="17"/>
  <c r="H375" i="17" l="1"/>
  <c r="AF375" i="17" s="1"/>
  <c r="E376" i="17" s="1"/>
  <c r="AS376" i="17" l="1"/>
  <c r="AT376" i="17"/>
  <c r="H376" i="17" l="1"/>
  <c r="AF376" i="17" s="1"/>
  <c r="E377" i="17" s="1"/>
  <c r="AS377" i="17" l="1"/>
  <c r="AT377" i="17"/>
  <c r="H377" i="17" l="1"/>
  <c r="AF377" i="17" s="1"/>
  <c r="E378" i="17" s="1"/>
  <c r="AS378" i="17" l="1"/>
  <c r="AT378" i="17"/>
  <c r="H378" i="17" l="1"/>
  <c r="AF378" i="17" s="1"/>
  <c r="E379" i="17" s="1"/>
  <c r="AS379" i="17" l="1"/>
  <c r="AT379" i="17"/>
  <c r="H379" i="17" l="1"/>
  <c r="AF379" i="17" s="1"/>
  <c r="E380" i="17" s="1"/>
  <c r="AS380" i="17" l="1"/>
  <c r="AT380" i="17"/>
  <c r="H380" i="17" l="1"/>
  <c r="AF380" i="17" s="1"/>
  <c r="E381" i="17" s="1"/>
  <c r="AS381" i="17" l="1"/>
  <c r="AT381" i="17"/>
  <c r="H381" i="17" l="1"/>
  <c r="AF381" i="17" s="1"/>
  <c r="E382" i="17" s="1"/>
  <c r="AS382" i="17" l="1"/>
  <c r="AT382" i="17"/>
  <c r="H382" i="17" l="1"/>
  <c r="AF382" i="17" s="1"/>
  <c r="E383" i="17" s="1"/>
  <c r="AS383" i="17" l="1"/>
  <c r="AT383" i="17"/>
  <c r="H383" i="17" l="1"/>
  <c r="AF383" i="17" s="1"/>
  <c r="E384" i="17" s="1"/>
  <c r="AS384" i="17" l="1"/>
  <c r="AT384" i="17"/>
  <c r="H384" i="17" l="1"/>
  <c r="AF384" i="17" s="1"/>
  <c r="E385" i="17" s="1"/>
  <c r="AS385" i="17" l="1"/>
  <c r="AT385" i="17"/>
  <c r="H385" i="17" l="1"/>
  <c r="AF385" i="17" s="1"/>
  <c r="E386" i="17" s="1"/>
  <c r="AS386" i="17" l="1"/>
  <c r="AT386" i="17"/>
  <c r="H386" i="17" l="1"/>
  <c r="AF386" i="17" s="1"/>
  <c r="E387" i="17" s="1"/>
  <c r="AS387" i="17" l="1"/>
  <c r="AT387" i="17"/>
  <c r="H387" i="17" l="1"/>
  <c r="AF387" i="17" s="1"/>
  <c r="E388" i="17" s="1"/>
  <c r="AS388" i="17" l="1"/>
  <c r="AT388" i="17"/>
  <c r="H388" i="17" l="1"/>
  <c r="AF388" i="17" s="1"/>
  <c r="E389" i="17" s="1"/>
  <c r="AS389" i="17" l="1"/>
  <c r="AT389" i="17"/>
  <c r="H389" i="17" l="1"/>
  <c r="AF389" i="17" s="1"/>
  <c r="E390" i="17" s="1"/>
  <c r="AS390" i="17" l="1"/>
  <c r="AT390" i="17"/>
  <c r="H390" i="17" l="1"/>
  <c r="AF390" i="17" s="1"/>
  <c r="E391" i="17" s="1"/>
  <c r="AS391" i="17" l="1"/>
  <c r="AT391" i="17"/>
  <c r="H391" i="17" l="1"/>
  <c r="AF391" i="17" s="1"/>
  <c r="E392" i="17" s="1"/>
  <c r="AS392" i="17" l="1"/>
  <c r="AT392" i="17"/>
  <c r="H392" i="17" l="1"/>
  <c r="AF392" i="17" s="1"/>
  <c r="E393" i="17" s="1"/>
  <c r="AS393" i="17" l="1"/>
  <c r="AT393" i="17"/>
  <c r="H393" i="17" l="1"/>
  <c r="AF393" i="17" s="1"/>
  <c r="E394" i="17" s="1"/>
  <c r="AS394" i="17" l="1"/>
  <c r="AT394" i="17"/>
  <c r="H394" i="17" l="1"/>
  <c r="AF394" i="17" s="1"/>
  <c r="E395" i="17" s="1"/>
  <c r="AS395" i="17" l="1"/>
  <c r="AT395" i="17"/>
  <c r="H395" i="17" l="1"/>
  <c r="AF395" i="17" s="1"/>
  <c r="E396" i="17" s="1"/>
  <c r="AS396" i="17" l="1"/>
  <c r="AT396" i="17"/>
  <c r="H396" i="17" l="1"/>
  <c r="AF396" i="17" s="1"/>
  <c r="E397" i="17" s="1"/>
  <c r="AS397" i="17" l="1"/>
  <c r="AT397" i="17"/>
  <c r="H397" i="17" l="1"/>
  <c r="AF397" i="17" s="1"/>
  <c r="E398" i="17" s="1"/>
  <c r="AS398" i="17" l="1"/>
  <c r="AT398" i="17"/>
  <c r="H398" i="17" l="1"/>
  <c r="AF398" i="17" s="1"/>
  <c r="E399" i="17" s="1"/>
  <c r="AS399" i="17" l="1"/>
  <c r="AT399" i="17"/>
  <c r="H399" i="17" l="1"/>
  <c r="AF399" i="17" s="1"/>
  <c r="E400" i="17" s="1"/>
  <c r="AS400" i="17" l="1"/>
  <c r="AT400" i="17"/>
  <c r="H400" i="17" l="1"/>
  <c r="AF400" i="17" s="1"/>
  <c r="E401" i="17" s="1"/>
  <c r="AS401" i="17" l="1"/>
  <c r="AT401" i="17"/>
  <c r="H401" i="17" l="1"/>
  <c r="AF401" i="17" s="1"/>
  <c r="E402" i="17" s="1"/>
  <c r="AS402" i="17" l="1"/>
  <c r="AT402" i="17"/>
  <c r="H402" i="17" l="1"/>
  <c r="AF402" i="17" s="1"/>
  <c r="E403" i="17" s="1"/>
  <c r="AS403" i="17" l="1"/>
  <c r="AT403" i="17"/>
  <c r="H403" i="17" l="1"/>
  <c r="AF403" i="17" s="1"/>
  <c r="E404" i="17" s="1"/>
  <c r="AS404" i="17" l="1"/>
  <c r="AT404" i="17"/>
  <c r="H404" i="17" l="1"/>
  <c r="AF404" i="17" s="1"/>
  <c r="E405" i="17" s="1"/>
  <c r="AS405" i="17" l="1"/>
  <c r="AT405" i="17"/>
  <c r="H405" i="17" l="1"/>
  <c r="AF405" i="17" s="1"/>
  <c r="E406" i="17" s="1"/>
  <c r="AS406" i="17" l="1"/>
  <c r="AT406" i="17"/>
  <c r="H406" i="17" l="1"/>
  <c r="AF406" i="17" s="1"/>
  <c r="E407" i="17" s="1"/>
  <c r="AS407" i="17" l="1"/>
  <c r="AT407" i="17"/>
  <c r="H407" i="17" l="1"/>
  <c r="AF407" i="17" s="1"/>
  <c r="E408" i="17" s="1"/>
  <c r="AS408" i="17" l="1"/>
  <c r="AT408" i="17"/>
  <c r="H408" i="17" l="1"/>
  <c r="AF408" i="17" s="1"/>
  <c r="E409" i="17" s="1"/>
  <c r="AS409" i="17" l="1"/>
  <c r="AT409" i="17"/>
  <c r="H409" i="17" l="1"/>
  <c r="AF409" i="17" s="1"/>
  <c r="E410" i="17" s="1"/>
  <c r="AS410" i="17" l="1"/>
  <c r="AT410" i="17"/>
  <c r="H410" i="17" l="1"/>
  <c r="AF410" i="17" s="1"/>
  <c r="E411" i="17" s="1"/>
  <c r="AS411" i="17" l="1"/>
  <c r="AT411" i="17"/>
  <c r="H411" i="17" l="1"/>
  <c r="AF411" i="17" s="1"/>
  <c r="E412" i="17" s="1"/>
  <c r="AS412" i="17" l="1"/>
  <c r="AT412" i="17"/>
  <c r="H412" i="17" l="1"/>
  <c r="AF412" i="17" s="1"/>
  <c r="E413" i="17" s="1"/>
  <c r="AS413" i="17" l="1"/>
  <c r="AT413" i="17"/>
  <c r="H413" i="17" l="1"/>
  <c r="AF413" i="17" s="1"/>
  <c r="E414" i="17" s="1"/>
  <c r="AS414" i="17" l="1"/>
  <c r="AT414" i="17"/>
  <c r="H414" i="17" l="1"/>
  <c r="AF414" i="17" s="1"/>
  <c r="E415" i="17" s="1"/>
  <c r="AS415" i="17" l="1"/>
  <c r="AT415" i="17"/>
  <c r="H415" i="17" l="1"/>
  <c r="AF415" i="17" s="1"/>
  <c r="E416" i="17" s="1"/>
  <c r="AS416" i="17" l="1"/>
  <c r="AT416" i="17"/>
  <c r="H416" i="17" l="1"/>
  <c r="AF416" i="17" s="1"/>
  <c r="E417" i="17" s="1"/>
  <c r="AS417" i="17" l="1"/>
  <c r="AT417" i="17"/>
  <c r="H417" i="17" l="1"/>
  <c r="AF417" i="17" s="1"/>
  <c r="E418" i="17" s="1"/>
  <c r="AS418" i="17" l="1"/>
  <c r="AT418" i="17"/>
  <c r="H418" i="17" l="1"/>
  <c r="AF418" i="17" s="1"/>
  <c r="E419" i="17" s="1"/>
  <c r="AS419" i="17" l="1"/>
  <c r="AT419" i="17"/>
  <c r="H419" i="17" l="1"/>
  <c r="AF419" i="17" s="1"/>
  <c r="E420" i="17" s="1"/>
  <c r="AS420" i="17" l="1"/>
  <c r="AT420" i="17"/>
  <c r="H420" i="17" l="1"/>
  <c r="AF420" i="17" s="1"/>
  <c r="E421" i="17" s="1"/>
  <c r="AS421" i="17" l="1"/>
  <c r="AT421" i="17"/>
  <c r="H421" i="17" l="1"/>
  <c r="AF421" i="17" s="1"/>
  <c r="E422" i="17" s="1"/>
  <c r="AS422" i="17" l="1"/>
  <c r="AT422" i="17"/>
  <c r="H422" i="17" l="1"/>
  <c r="AF422" i="17" s="1"/>
  <c r="E423" i="17" s="1"/>
  <c r="AS423" i="17" l="1"/>
  <c r="AT423" i="17"/>
  <c r="H423" i="17" l="1"/>
  <c r="AF423" i="17" s="1"/>
  <c r="E424" i="17" s="1"/>
  <c r="AS424" i="17" l="1"/>
  <c r="AT424" i="17"/>
  <c r="H424" i="17" l="1"/>
  <c r="AF424" i="17" s="1"/>
  <c r="E425" i="17" s="1"/>
  <c r="AS425" i="17" l="1"/>
  <c r="AT425" i="17"/>
  <c r="H425" i="17" l="1"/>
  <c r="AF425" i="17" s="1"/>
  <c r="E426" i="17" s="1"/>
  <c r="AS426" i="17" l="1"/>
  <c r="AT426" i="17"/>
  <c r="H426" i="17" l="1"/>
  <c r="AF426" i="17" s="1"/>
  <c r="E427" i="17" s="1"/>
  <c r="AS427" i="17" l="1"/>
  <c r="AT427" i="17"/>
  <c r="H427" i="17" l="1"/>
  <c r="AF427" i="17" s="1"/>
  <c r="E428" i="17" s="1"/>
  <c r="AS428" i="17" l="1"/>
  <c r="AT428" i="17"/>
  <c r="H428" i="17" l="1"/>
  <c r="AF428" i="17" s="1"/>
  <c r="E429" i="17" s="1"/>
  <c r="AS429" i="17" l="1"/>
  <c r="AT429" i="17"/>
  <c r="H429" i="17" l="1"/>
  <c r="AF429" i="17" s="1"/>
  <c r="E430" i="17" s="1"/>
  <c r="AS430" i="17" l="1"/>
  <c r="AT430" i="17"/>
  <c r="H430" i="17" l="1"/>
  <c r="AF430" i="17" s="1"/>
  <c r="E431" i="17" s="1"/>
  <c r="AS431" i="17" l="1"/>
  <c r="AT431" i="17"/>
  <c r="H431" i="17" l="1"/>
  <c r="AF431" i="17" s="1"/>
  <c r="E432" i="17" s="1"/>
  <c r="AS432" i="17" l="1"/>
  <c r="AT432" i="17"/>
  <c r="H432" i="17" l="1"/>
  <c r="AF432" i="17" s="1"/>
  <c r="E433" i="17" s="1"/>
  <c r="AS433" i="17" l="1"/>
  <c r="AT433" i="17"/>
  <c r="H433" i="17" l="1"/>
  <c r="AF433" i="17" s="1"/>
  <c r="E434" i="17" s="1"/>
  <c r="AS434" i="17" l="1"/>
  <c r="AT434" i="17"/>
  <c r="H434" i="17" l="1"/>
  <c r="AF434" i="17" s="1"/>
  <c r="E435" i="17" s="1"/>
  <c r="AS435" i="17" l="1"/>
  <c r="AT435" i="17"/>
  <c r="H435" i="17" l="1"/>
  <c r="AF435" i="17" s="1"/>
  <c r="E436" i="17" s="1"/>
  <c r="AS436" i="17" l="1"/>
  <c r="AT436" i="17"/>
  <c r="H436" i="17" l="1"/>
  <c r="AF436" i="17" s="1"/>
  <c r="E437" i="17" s="1"/>
  <c r="AS437" i="17" l="1"/>
  <c r="AT437" i="17"/>
  <c r="H437" i="17" l="1"/>
  <c r="AF437" i="17" s="1"/>
  <c r="E438" i="17" s="1"/>
  <c r="AS438" i="17" l="1"/>
  <c r="AT438" i="17"/>
  <c r="H438" i="17" l="1"/>
  <c r="AF438" i="17" s="1"/>
  <c r="E439" i="17" s="1"/>
  <c r="AS439" i="17" l="1"/>
  <c r="AT439" i="17"/>
  <c r="H439" i="17" l="1"/>
  <c r="AF439" i="17" s="1"/>
  <c r="E440" i="17" s="1"/>
  <c r="AS440" i="17" l="1"/>
  <c r="AT440" i="17"/>
  <c r="H440" i="17" l="1"/>
  <c r="AF440" i="17" s="1"/>
  <c r="E441" i="17" s="1"/>
  <c r="AS441" i="17" l="1"/>
  <c r="AT441" i="17"/>
  <c r="H441" i="17" l="1"/>
  <c r="AF441" i="17" s="1"/>
  <c r="E442" i="17" s="1"/>
  <c r="AS442" i="17" l="1"/>
  <c r="AT442" i="17"/>
  <c r="H442" i="17" l="1"/>
  <c r="AF442" i="17" s="1"/>
  <c r="E443" i="17" s="1"/>
  <c r="AS443" i="17" l="1"/>
  <c r="AT443" i="17"/>
  <c r="H443" i="17" l="1"/>
  <c r="AF443" i="17" s="1"/>
  <c r="E444" i="17" s="1"/>
  <c r="AS444" i="17" l="1"/>
  <c r="AT444" i="17"/>
  <c r="H444" i="17" l="1"/>
  <c r="AF444" i="17" s="1"/>
  <c r="E445" i="17" s="1"/>
  <c r="AS445" i="17" l="1"/>
  <c r="AT445" i="17"/>
  <c r="H445" i="17" l="1"/>
  <c r="AF445" i="17" s="1"/>
  <c r="E446" i="17" s="1"/>
  <c r="AS446" i="17" l="1"/>
  <c r="AT446" i="17"/>
  <c r="H446" i="17" l="1"/>
  <c r="AF446" i="17" s="1"/>
  <c r="E447" i="17" s="1"/>
  <c r="AS447" i="17" l="1"/>
  <c r="AT447" i="17"/>
  <c r="H447" i="17" l="1"/>
  <c r="AF447" i="17" s="1"/>
  <c r="E448" i="17" s="1"/>
  <c r="AS448" i="17" l="1"/>
  <c r="AT448" i="17"/>
  <c r="H448" i="17" l="1"/>
  <c r="AF448" i="17" s="1"/>
  <c r="E449" i="17" s="1"/>
  <c r="AS449" i="17" l="1"/>
  <c r="AT449" i="17"/>
  <c r="H449" i="17" l="1"/>
  <c r="AF449" i="17" s="1"/>
  <c r="E450" i="17" s="1"/>
  <c r="AS450" i="17" l="1"/>
  <c r="AT450" i="17"/>
  <c r="H450" i="17" l="1"/>
  <c r="AF450" i="17" s="1"/>
  <c r="E451" i="17" s="1"/>
  <c r="AS451" i="17" l="1"/>
  <c r="AT451" i="17"/>
  <c r="H451" i="17" l="1"/>
  <c r="AF451" i="17" s="1"/>
  <c r="E452" i="17" s="1"/>
  <c r="AS452" i="17" l="1"/>
  <c r="AT452" i="17"/>
  <c r="H452" i="17" l="1"/>
  <c r="AF452" i="17" s="1"/>
  <c r="E453" i="17" s="1"/>
  <c r="AS453" i="17" l="1"/>
  <c r="AT453" i="17"/>
  <c r="H453" i="17" l="1"/>
  <c r="AF453" i="17" s="1"/>
  <c r="E454" i="17" s="1"/>
  <c r="AS454" i="17" l="1"/>
  <c r="AT454" i="17"/>
  <c r="H454" i="17" l="1"/>
  <c r="AF454" i="17" s="1"/>
  <c r="E455" i="17" s="1"/>
  <c r="AS455" i="17" l="1"/>
  <c r="AT455" i="17"/>
  <c r="H455" i="17" l="1"/>
  <c r="AF455" i="17" s="1"/>
  <c r="E456" i="17" s="1"/>
  <c r="AS456" i="17" l="1"/>
  <c r="AT456" i="17"/>
  <c r="H456" i="17" l="1"/>
  <c r="AF456" i="17" s="1"/>
  <c r="E457" i="17" s="1"/>
  <c r="AS457" i="17" l="1"/>
  <c r="AT457" i="17"/>
  <c r="H457" i="17" l="1"/>
  <c r="AF457" i="17" s="1"/>
  <c r="E458" i="17" s="1"/>
  <c r="AS458" i="17" l="1"/>
  <c r="AT458" i="17"/>
  <c r="H458" i="17" l="1"/>
  <c r="AF458" i="17" s="1"/>
  <c r="E459" i="17" s="1"/>
  <c r="AS459" i="17" l="1"/>
  <c r="AT459" i="17"/>
  <c r="H459" i="17" l="1"/>
  <c r="AF459" i="17" s="1"/>
  <c r="E460" i="17" s="1"/>
  <c r="AS460" i="17" l="1"/>
  <c r="AT460" i="17"/>
  <c r="H460" i="17" l="1"/>
  <c r="AF460" i="17" s="1"/>
  <c r="E461" i="17" s="1"/>
  <c r="AS461" i="17" l="1"/>
  <c r="AT461" i="17"/>
  <c r="H461" i="17" l="1"/>
  <c r="AF461" i="17" s="1"/>
  <c r="E462" i="17" s="1"/>
  <c r="AS462" i="17" l="1"/>
  <c r="AT462" i="17"/>
  <c r="H462" i="17" l="1"/>
  <c r="AF462" i="17" s="1"/>
  <c r="E463" i="17" s="1"/>
  <c r="AS463" i="17" l="1"/>
  <c r="AT463" i="17"/>
  <c r="H463" i="17" l="1"/>
  <c r="AF463" i="17" s="1"/>
  <c r="E464" i="17" s="1"/>
  <c r="AS464" i="17" l="1"/>
  <c r="AT464" i="17"/>
  <c r="H464" i="17" l="1"/>
  <c r="AF464" i="17" s="1"/>
  <c r="E465" i="17" s="1"/>
  <c r="AS465" i="17" l="1"/>
  <c r="AT465" i="17"/>
  <c r="H465" i="17" l="1"/>
  <c r="AF465" i="17" s="1"/>
  <c r="E466" i="17" s="1"/>
  <c r="AS466" i="17" l="1"/>
  <c r="AT466" i="17"/>
  <c r="H466" i="17" l="1"/>
  <c r="AF466" i="17" s="1"/>
  <c r="E467" i="17" s="1"/>
  <c r="AS467" i="17" l="1"/>
  <c r="AT467" i="17"/>
  <c r="H467" i="17" l="1"/>
  <c r="AF467" i="17" s="1"/>
  <c r="E468" i="17" s="1"/>
  <c r="AS468" i="17" l="1"/>
  <c r="AT468" i="17"/>
  <c r="H468" i="17" l="1"/>
  <c r="AF468" i="17" s="1"/>
  <c r="E469" i="17" s="1"/>
  <c r="AS469" i="17" l="1"/>
  <c r="AT469" i="17"/>
  <c r="H469" i="17" l="1"/>
  <c r="AF469" i="17" s="1"/>
  <c r="E470" i="17" s="1"/>
  <c r="AS470" i="17" l="1"/>
  <c r="AT470" i="17"/>
  <c r="H470" i="17" l="1"/>
  <c r="AF470" i="17" s="1"/>
  <c r="E471" i="17" s="1"/>
  <c r="AS471" i="17" l="1"/>
  <c r="AT471" i="17"/>
  <c r="H471" i="17" l="1"/>
  <c r="AF471" i="17" s="1"/>
  <c r="E472" i="17" s="1"/>
  <c r="AS472" i="17" l="1"/>
  <c r="AT472" i="17"/>
  <c r="H472" i="17" l="1"/>
  <c r="AF472" i="17" s="1"/>
  <c r="E473" i="17" s="1"/>
  <c r="AS473" i="17" l="1"/>
  <c r="AT473" i="17"/>
  <c r="H473" i="17" l="1"/>
  <c r="AF473" i="17" s="1"/>
  <c r="E474" i="17" s="1"/>
  <c r="AS474" i="17" l="1"/>
  <c r="AT474" i="17"/>
  <c r="H474" i="17" l="1"/>
  <c r="AF474" i="17" s="1"/>
  <c r="E475" i="17" s="1"/>
  <c r="AS475" i="17" l="1"/>
  <c r="AT475" i="17"/>
  <c r="H475" i="17" l="1"/>
  <c r="AF475" i="17" s="1"/>
  <c r="E476" i="17" s="1"/>
  <c r="AS476" i="17" l="1"/>
  <c r="AT476" i="17"/>
  <c r="H476" i="17" l="1"/>
  <c r="AF476" i="17" s="1"/>
  <c r="E477" i="17" s="1"/>
  <c r="AS477" i="17" l="1"/>
  <c r="AT477" i="17"/>
  <c r="H477" i="17" l="1"/>
  <c r="AF477" i="17" s="1"/>
  <c r="E478" i="17" s="1"/>
  <c r="AS478" i="17" l="1"/>
  <c r="AT478" i="17"/>
  <c r="H478" i="17" l="1"/>
  <c r="AF478" i="17" s="1"/>
  <c r="E479" i="17" s="1"/>
  <c r="AS479" i="17" l="1"/>
  <c r="AT479" i="17"/>
  <c r="H479" i="17" l="1"/>
  <c r="AF479" i="17" s="1"/>
  <c r="E480" i="17" s="1"/>
  <c r="AS480" i="17" l="1"/>
  <c r="AT480" i="17"/>
  <c r="H480" i="17" l="1"/>
  <c r="AF480" i="17" s="1"/>
  <c r="E481" i="17" s="1"/>
  <c r="AS481" i="17" l="1"/>
  <c r="AT481" i="17"/>
  <c r="H481" i="17" l="1"/>
  <c r="AF481" i="17" s="1"/>
  <c r="E482" i="17" s="1"/>
  <c r="AS482" i="17" l="1"/>
  <c r="AT482" i="17"/>
  <c r="H482" i="17" l="1"/>
  <c r="AF482" i="17" s="1"/>
  <c r="E483" i="17" s="1"/>
  <c r="AS483" i="17" l="1"/>
  <c r="AT483" i="17"/>
  <c r="H483" i="17" l="1"/>
  <c r="AF483" i="17" s="1"/>
  <c r="E484" i="17" s="1"/>
  <c r="AS484" i="17" l="1"/>
  <c r="AT484" i="17"/>
  <c r="H484" i="17" l="1"/>
  <c r="AF484" i="17" s="1"/>
  <c r="E485" i="17" s="1"/>
  <c r="AS485" i="17" l="1"/>
  <c r="AT485" i="17"/>
  <c r="H485" i="17" l="1"/>
  <c r="AF485" i="17" s="1"/>
  <c r="E486" i="17" s="1"/>
  <c r="AS486" i="17" l="1"/>
  <c r="AT486" i="17"/>
  <c r="H486" i="17" l="1"/>
  <c r="AF486" i="17" s="1"/>
  <c r="E487" i="17" s="1"/>
  <c r="AS487" i="17" l="1"/>
  <c r="AT487" i="17"/>
  <c r="H487" i="17" l="1"/>
  <c r="AF487" i="17" s="1"/>
  <c r="E488" i="17" s="1"/>
  <c r="AS488" i="17" l="1"/>
  <c r="AT488" i="17"/>
  <c r="H488" i="17" l="1"/>
  <c r="AF488" i="17" s="1"/>
  <c r="E489" i="17" s="1"/>
  <c r="AS489" i="17" l="1"/>
  <c r="AT489" i="17"/>
  <c r="H489" i="17" l="1"/>
  <c r="AF489" i="17" s="1"/>
  <c r="E490" i="17" s="1"/>
  <c r="AS490" i="17" l="1"/>
  <c r="AT490" i="17"/>
  <c r="H490" i="17" l="1"/>
  <c r="AF490" i="17" s="1"/>
  <c r="E491" i="17" s="1"/>
  <c r="AS491" i="17" l="1"/>
  <c r="AT491" i="17"/>
  <c r="H491" i="17" l="1"/>
  <c r="AF491" i="17" s="1"/>
  <c r="E492" i="17" s="1"/>
  <c r="AS492" i="17" l="1"/>
  <c r="AT492" i="17"/>
  <c r="H492" i="17" l="1"/>
  <c r="AF492" i="17" s="1"/>
  <c r="E493" i="17" s="1"/>
  <c r="AS493" i="17" l="1"/>
  <c r="AT493" i="17"/>
  <c r="H493" i="17" l="1"/>
  <c r="AF493" i="17" s="1"/>
  <c r="E494" i="17" s="1"/>
  <c r="AS494" i="17" l="1"/>
  <c r="AT494" i="17"/>
  <c r="H494" i="17" l="1"/>
  <c r="AF494" i="17" s="1"/>
  <c r="E495" i="17" s="1"/>
  <c r="AS495" i="17" l="1"/>
  <c r="AT495" i="17"/>
  <c r="H495" i="17" l="1"/>
  <c r="AF495" i="17" s="1"/>
  <c r="E496" i="17" s="1"/>
  <c r="AS496" i="17" l="1"/>
  <c r="AT496" i="17"/>
  <c r="H496" i="17" l="1"/>
  <c r="AF496" i="17" s="1"/>
  <c r="E497" i="17" s="1"/>
  <c r="AS497" i="17" l="1"/>
  <c r="AT497" i="17"/>
  <c r="H497" i="17" l="1"/>
  <c r="AF497" i="17" s="1"/>
  <c r="E498" i="17" s="1"/>
  <c r="AS498" i="17" l="1"/>
  <c r="AT498" i="17"/>
  <c r="H498" i="17" l="1"/>
  <c r="AF498" i="17" s="1"/>
  <c r="E499" i="17" s="1"/>
  <c r="AS499" i="17" l="1"/>
  <c r="AT499" i="17"/>
  <c r="H499" i="17" l="1"/>
  <c r="AF499" i="17" s="1"/>
  <c r="E500" i="17" s="1"/>
  <c r="AS500" i="17" l="1"/>
  <c r="AT500" i="17"/>
  <c r="H500" i="17" l="1"/>
  <c r="AF500" i="17" s="1"/>
  <c r="E501" i="17" s="1"/>
  <c r="AS501" i="17" l="1"/>
  <c r="AT501" i="17"/>
  <c r="H501" i="17" l="1"/>
  <c r="AF501" i="17" s="1"/>
  <c r="E502" i="17" s="1"/>
  <c r="AS502" i="17" l="1"/>
  <c r="AT502" i="17"/>
  <c r="H502" i="17" l="1"/>
  <c r="AF502" i="17" s="1"/>
  <c r="E503" i="17" s="1"/>
  <c r="AS503" i="17" l="1"/>
  <c r="AT503" i="17"/>
  <c r="H503" i="17" l="1"/>
  <c r="AF503" i="17" s="1"/>
  <c r="E504" i="17" s="1"/>
  <c r="AS504" i="17" l="1"/>
  <c r="AT504" i="17"/>
  <c r="H504" i="17" l="1"/>
  <c r="AF504" i="17" s="1"/>
  <c r="E505" i="17" s="1"/>
  <c r="AS505" i="17" l="1"/>
  <c r="AT505" i="17"/>
  <c r="H505" i="17" l="1"/>
  <c r="AF505" i="17" s="1"/>
  <c r="E506" i="17" s="1"/>
  <c r="AS506" i="17" l="1"/>
  <c r="AT506" i="17"/>
  <c r="H506" i="17" l="1"/>
  <c r="AF506" i="17" s="1"/>
  <c r="E507" i="17" s="1"/>
  <c r="AS507" i="17" l="1"/>
  <c r="AT507" i="17"/>
  <c r="H507" i="17" l="1"/>
  <c r="AF507" i="17" s="1"/>
  <c r="E508" i="17" s="1"/>
  <c r="AS508" i="17" l="1"/>
  <c r="AT508" i="17"/>
  <c r="H508" i="17" l="1"/>
  <c r="AF508" i="17" s="1"/>
  <c r="E509" i="17" s="1"/>
  <c r="AS509" i="17" l="1"/>
  <c r="AT509" i="17"/>
  <c r="H509" i="17" l="1"/>
  <c r="AF509" i="17" s="1"/>
  <c r="E510" i="17" s="1"/>
  <c r="AS510" i="17" l="1"/>
  <c r="AT510" i="17"/>
  <c r="H510" i="17" l="1"/>
  <c r="AF510" i="17" s="1"/>
  <c r="E511" i="17" s="1"/>
  <c r="AS511" i="17" l="1"/>
  <c r="AT511" i="17"/>
  <c r="H511" i="17" l="1"/>
  <c r="AF511" i="17" s="1"/>
  <c r="E512" i="17" s="1"/>
  <c r="AS512" i="17" l="1"/>
  <c r="AT512" i="17"/>
  <c r="H512" i="17" l="1"/>
  <c r="AF512" i="17" s="1"/>
  <c r="E513" i="17" s="1"/>
  <c r="AS513" i="17" l="1"/>
  <c r="AT513" i="17"/>
  <c r="H513" i="17" l="1"/>
  <c r="AF513" i="17" s="1"/>
  <c r="E514" i="17" s="1"/>
  <c r="AS514" i="17" l="1"/>
  <c r="AT514" i="17"/>
  <c r="H514" i="17" l="1"/>
  <c r="AF514" i="17" s="1"/>
  <c r="E515" i="17" s="1"/>
  <c r="AS515" i="17" l="1"/>
  <c r="AT515" i="17"/>
  <c r="H515" i="17" l="1"/>
  <c r="AF515" i="17" s="1"/>
  <c r="E516" i="17" s="1"/>
  <c r="AS516" i="17" l="1"/>
  <c r="AT516" i="17"/>
  <c r="H516" i="17" l="1"/>
  <c r="AF516" i="17" s="1"/>
  <c r="E517" i="17" s="1"/>
  <c r="AS517" i="17" l="1"/>
  <c r="AT517" i="17"/>
  <c r="H517" i="17" l="1"/>
  <c r="AF517" i="17" s="1"/>
  <c r="E518" i="17" s="1"/>
  <c r="AS518" i="17" l="1"/>
  <c r="AT518" i="17"/>
  <c r="H518" i="17" l="1"/>
  <c r="AF518" i="17" s="1"/>
  <c r="E519" i="17" s="1"/>
  <c r="AS519" i="17" l="1"/>
  <c r="AT519" i="17"/>
  <c r="H519" i="17" l="1"/>
  <c r="AF519" i="17" s="1"/>
  <c r="E520" i="17" s="1"/>
  <c r="AS520" i="17" l="1"/>
  <c r="AT520" i="17"/>
  <c r="H520" i="17" l="1"/>
  <c r="AF520" i="17" s="1"/>
  <c r="E521" i="17" s="1"/>
  <c r="AS521" i="17" l="1"/>
  <c r="AT521" i="17"/>
  <c r="H521" i="17" l="1"/>
  <c r="AF521" i="17" s="1"/>
  <c r="E522" i="17" s="1"/>
  <c r="AS522" i="17" l="1"/>
  <c r="AT522" i="17"/>
  <c r="H522" i="17" l="1"/>
  <c r="AF522" i="17" s="1"/>
  <c r="E523" i="17" s="1"/>
  <c r="AS523" i="17" l="1"/>
  <c r="AT523" i="17"/>
  <c r="H523" i="17" l="1"/>
  <c r="AF523" i="17" s="1"/>
  <c r="E524" i="17" s="1"/>
  <c r="AS524" i="17" l="1"/>
  <c r="AT524" i="17"/>
  <c r="H524" i="17" l="1"/>
  <c r="AF524" i="17" s="1"/>
  <c r="E525" i="17" s="1"/>
  <c r="AS525" i="17" l="1"/>
  <c r="AT525" i="17"/>
  <c r="H525" i="17" l="1"/>
  <c r="AF525" i="17" s="1"/>
  <c r="E526" i="17" s="1"/>
  <c r="AS526" i="17" l="1"/>
  <c r="AT526" i="17"/>
  <c r="H526" i="17" l="1"/>
  <c r="AF526" i="17" s="1"/>
  <c r="E527" i="17" s="1"/>
  <c r="AS527" i="17" l="1"/>
  <c r="AT527" i="17"/>
  <c r="H527" i="17" l="1"/>
  <c r="AF527" i="17" s="1"/>
  <c r="E528" i="17" s="1"/>
  <c r="AS528" i="17" l="1"/>
  <c r="AT528" i="17"/>
  <c r="H528" i="17" l="1"/>
  <c r="AF528" i="17" s="1"/>
  <c r="E529" i="17" s="1"/>
  <c r="AS529" i="17" l="1"/>
  <c r="AT529" i="17"/>
  <c r="H529" i="17" l="1"/>
  <c r="AF529" i="17" s="1"/>
  <c r="E530" i="17" s="1"/>
  <c r="AS530" i="17" l="1"/>
  <c r="AT530" i="17"/>
  <c r="H530" i="17" l="1"/>
  <c r="AF530" i="17" s="1"/>
  <c r="E531" i="17" s="1"/>
  <c r="AS531" i="17" l="1"/>
  <c r="AT531" i="17"/>
  <c r="H531" i="17" l="1"/>
  <c r="AF531" i="17" s="1"/>
  <c r="E532" i="17" s="1"/>
  <c r="AS532" i="17" l="1"/>
  <c r="AT532" i="17"/>
  <c r="H532" i="17" l="1"/>
  <c r="AF532" i="17" s="1"/>
  <c r="E533" i="17" s="1"/>
  <c r="AS533" i="17" l="1"/>
  <c r="AT533" i="17"/>
  <c r="H533" i="17" l="1"/>
  <c r="AF533" i="17" s="1"/>
  <c r="E534" i="17" s="1"/>
  <c r="AS534" i="17" l="1"/>
  <c r="AT534" i="17"/>
  <c r="H534" i="17" l="1"/>
  <c r="AF534" i="17" s="1"/>
  <c r="E535" i="17" s="1"/>
  <c r="AS535" i="17" l="1"/>
  <c r="AT535" i="17"/>
  <c r="H535" i="17" l="1"/>
  <c r="AF535" i="17" s="1"/>
  <c r="E536" i="17" s="1"/>
  <c r="AS536" i="17" l="1"/>
  <c r="AT536" i="17"/>
  <c r="H536" i="17" l="1"/>
  <c r="AF536" i="17" s="1"/>
  <c r="E537" i="17" s="1"/>
  <c r="AS537" i="17" l="1"/>
  <c r="AT537" i="17"/>
  <c r="H537" i="17" l="1"/>
  <c r="AF537" i="17" s="1"/>
  <c r="E538" i="17" s="1"/>
  <c r="AS538" i="17" l="1"/>
  <c r="AT538" i="17"/>
  <c r="H538" i="17" l="1"/>
  <c r="AF538" i="17" s="1"/>
  <c r="E539" i="17" s="1"/>
  <c r="AS539" i="17" l="1"/>
  <c r="AT539" i="17"/>
  <c r="H539" i="17" l="1"/>
  <c r="AF539" i="17" s="1"/>
  <c r="E540" i="17" s="1"/>
  <c r="AS540" i="17" l="1"/>
  <c r="AT540" i="17"/>
  <c r="H540" i="17" l="1"/>
  <c r="AF540" i="17" s="1"/>
  <c r="E541" i="17" s="1"/>
  <c r="AS541" i="17" l="1"/>
  <c r="AT541" i="17"/>
  <c r="H541" i="17" l="1"/>
  <c r="AF541" i="17" s="1"/>
  <c r="E542" i="17" s="1"/>
  <c r="AS542" i="17" l="1"/>
  <c r="AT542" i="17"/>
  <c r="H542" i="17" l="1"/>
  <c r="AF542" i="17" s="1"/>
  <c r="E543" i="17" s="1"/>
  <c r="AS543" i="17" l="1"/>
  <c r="AT543" i="17"/>
  <c r="H543" i="17" l="1"/>
  <c r="AF543" i="17" s="1"/>
  <c r="E544" i="17" s="1"/>
  <c r="AS544" i="17" l="1"/>
  <c r="AT544" i="17"/>
  <c r="H544" i="17" l="1"/>
  <c r="AF544" i="17" s="1"/>
  <c r="E545" i="17" s="1"/>
  <c r="AS545" i="17" l="1"/>
  <c r="AT545" i="17"/>
  <c r="H545" i="17" l="1"/>
  <c r="AF545" i="17" s="1"/>
  <c r="E546" i="17" s="1"/>
  <c r="AS546" i="17" l="1"/>
  <c r="AT546" i="17"/>
  <c r="H546" i="17" l="1"/>
  <c r="AF546" i="17" s="1"/>
  <c r="E547" i="17" s="1"/>
  <c r="AS547" i="17" l="1"/>
  <c r="AT547" i="17"/>
  <c r="H547" i="17" l="1"/>
  <c r="AF547" i="17" s="1"/>
  <c r="E548" i="17" s="1"/>
  <c r="AS548" i="17" l="1"/>
  <c r="AT548" i="17"/>
  <c r="H548" i="17" l="1"/>
  <c r="AF548" i="17" s="1"/>
  <c r="E549" i="17" s="1"/>
  <c r="AS549" i="17" l="1"/>
  <c r="AT549" i="17"/>
  <c r="H549" i="17" l="1"/>
  <c r="AF549" i="17" s="1"/>
  <c r="E550" i="17" s="1"/>
  <c r="AS550" i="17" l="1"/>
  <c r="AT550" i="17"/>
  <c r="H550" i="17" l="1"/>
  <c r="AF550" i="17" s="1"/>
  <c r="E551" i="17" s="1"/>
  <c r="AS551" i="17" l="1"/>
  <c r="AT551" i="17"/>
  <c r="H551" i="17" l="1"/>
  <c r="AF551" i="17" s="1"/>
  <c r="E552" i="17" s="1"/>
  <c r="AS552" i="17" l="1"/>
  <c r="AT552" i="17"/>
  <c r="H552" i="17" l="1"/>
  <c r="AF552" i="17" s="1"/>
  <c r="E553" i="17" s="1"/>
  <c r="AS553" i="17" l="1"/>
  <c r="AT553" i="17"/>
  <c r="H553" i="17" l="1"/>
  <c r="AF553" i="17" s="1"/>
  <c r="E554" i="17" s="1"/>
  <c r="AS554" i="17" l="1"/>
  <c r="AT554" i="17"/>
  <c r="H554" i="17" l="1"/>
  <c r="AF554" i="17" s="1"/>
  <c r="E555" i="17" s="1"/>
  <c r="AS555" i="17" l="1"/>
  <c r="AT555" i="17"/>
  <c r="H555" i="17" l="1"/>
  <c r="AF555" i="17" s="1"/>
  <c r="E556" i="17" s="1"/>
  <c r="AS556" i="17" l="1"/>
  <c r="AT556" i="17"/>
  <c r="H556" i="17" l="1"/>
  <c r="AF556" i="17" s="1"/>
  <c r="E557" i="17" s="1"/>
  <c r="AS557" i="17" l="1"/>
  <c r="AT557" i="17"/>
  <c r="H557" i="17" l="1"/>
  <c r="AF557" i="17" s="1"/>
  <c r="E558" i="17" s="1"/>
  <c r="AS558" i="17" l="1"/>
  <c r="AT558" i="17"/>
  <c r="H558" i="17" l="1"/>
  <c r="AF558" i="17" s="1"/>
  <c r="E559" i="17" s="1"/>
  <c r="AS559" i="17" l="1"/>
  <c r="AT559" i="17"/>
  <c r="H559" i="17" l="1"/>
  <c r="AF559" i="17" s="1"/>
  <c r="E560" i="17" s="1"/>
  <c r="AS560" i="17" l="1"/>
  <c r="AT560" i="17"/>
  <c r="H560" i="17" l="1"/>
  <c r="AF560" i="17" s="1"/>
  <c r="E561" i="17" s="1"/>
  <c r="AS561" i="17" l="1"/>
  <c r="AT561" i="17"/>
  <c r="H561" i="17" l="1"/>
  <c r="AF561" i="17" s="1"/>
  <c r="E562" i="17" s="1"/>
  <c r="AS562" i="17" l="1"/>
  <c r="AT562" i="17"/>
  <c r="H562" i="17" l="1"/>
  <c r="AF562" i="17" s="1"/>
  <c r="E563" i="17" s="1"/>
  <c r="AS563" i="17" l="1"/>
  <c r="AT563" i="17"/>
  <c r="H563" i="17" l="1"/>
  <c r="AF563" i="17" s="1"/>
  <c r="E564" i="17" s="1"/>
  <c r="AS564" i="17" l="1"/>
  <c r="AT564" i="17"/>
  <c r="H564" i="17" l="1"/>
  <c r="AF564" i="17" s="1"/>
  <c r="E565" i="17" s="1"/>
  <c r="AS565" i="17" l="1"/>
  <c r="AT565" i="17"/>
  <c r="H565" i="17" l="1"/>
  <c r="AF565" i="17" s="1"/>
  <c r="E566" i="17" s="1"/>
  <c r="AS566" i="17" l="1"/>
  <c r="AT566" i="17"/>
  <c r="H566" i="17" l="1"/>
  <c r="AF566" i="17" s="1"/>
  <c r="E567" i="17" s="1"/>
  <c r="AS567" i="17" l="1"/>
  <c r="AT567" i="17"/>
  <c r="H567" i="17" l="1"/>
  <c r="AF567" i="17" s="1"/>
  <c r="E568" i="17" s="1"/>
  <c r="AS568" i="17" l="1"/>
  <c r="AT568" i="17"/>
  <c r="H568" i="17" l="1"/>
  <c r="AF568" i="17" s="1"/>
  <c r="E569" i="17" s="1"/>
  <c r="AS569" i="17" l="1"/>
  <c r="AT569" i="17"/>
  <c r="H569" i="17" l="1"/>
  <c r="AF569" i="17" s="1"/>
  <c r="E570" i="17" s="1"/>
  <c r="AS570" i="17" l="1"/>
  <c r="AT570" i="17"/>
  <c r="H570" i="17" l="1"/>
  <c r="AF570" i="17" s="1"/>
  <c r="E571" i="17" s="1"/>
  <c r="AS571" i="17" l="1"/>
  <c r="AT571" i="17"/>
  <c r="H571" i="17" l="1"/>
  <c r="AF571" i="17" s="1"/>
  <c r="E572" i="17" s="1"/>
  <c r="AS572" i="17" l="1"/>
  <c r="AT572" i="17"/>
  <c r="H572" i="17" l="1"/>
  <c r="AF572" i="17" s="1"/>
  <c r="E573" i="17" s="1"/>
  <c r="AS573" i="17" l="1"/>
  <c r="AT573" i="17"/>
  <c r="H573" i="17" l="1"/>
  <c r="AF573" i="17" s="1"/>
  <c r="E574" i="17" s="1"/>
  <c r="AS574" i="17" l="1"/>
  <c r="AT574" i="17"/>
  <c r="H574" i="17" l="1"/>
  <c r="AF574" i="17" s="1"/>
  <c r="E575" i="17" s="1"/>
  <c r="AS575" i="17" l="1"/>
  <c r="AT575" i="17"/>
  <c r="H575" i="17" l="1"/>
  <c r="AF575" i="17" s="1"/>
  <c r="E576" i="17" s="1"/>
  <c r="AS576" i="17" l="1"/>
  <c r="AT576" i="17"/>
  <c r="H576" i="17" l="1"/>
  <c r="AF576" i="17" s="1"/>
  <c r="E577" i="17" s="1"/>
  <c r="AS577" i="17" l="1"/>
  <c r="AT577" i="17"/>
  <c r="H577" i="17" l="1"/>
  <c r="AF577" i="17" s="1"/>
  <c r="E578" i="17" s="1"/>
  <c r="AS578" i="17" l="1"/>
  <c r="AT578" i="17"/>
  <c r="H578" i="17" l="1"/>
  <c r="AF578" i="17" s="1"/>
  <c r="E579" i="17" s="1"/>
  <c r="AS579" i="17" l="1"/>
  <c r="AT579" i="17"/>
  <c r="H579" i="17" l="1"/>
  <c r="AF579" i="17" s="1"/>
  <c r="E580" i="17" s="1"/>
  <c r="AS580" i="17" l="1"/>
  <c r="AT580" i="17"/>
  <c r="H580" i="17" l="1"/>
  <c r="AF580" i="17" s="1"/>
  <c r="E581" i="17" s="1"/>
  <c r="AS581" i="17" l="1"/>
  <c r="AT581" i="17"/>
  <c r="H581" i="17" l="1"/>
  <c r="AF581" i="17" s="1"/>
  <c r="E582" i="17" s="1"/>
  <c r="AS582" i="17" l="1"/>
  <c r="AT582" i="17"/>
  <c r="H582" i="17" l="1"/>
  <c r="AF582" i="17" s="1"/>
  <c r="E583" i="17" s="1"/>
  <c r="AS583" i="17" l="1"/>
  <c r="AT583" i="17"/>
  <c r="H583" i="17" l="1"/>
  <c r="AF583" i="17" s="1"/>
  <c r="E584" i="17" s="1"/>
  <c r="AS584" i="17" l="1"/>
  <c r="AT584" i="17"/>
  <c r="H584" i="17" l="1"/>
  <c r="AF584" i="17" s="1"/>
  <c r="E585" i="17" s="1"/>
  <c r="AS585" i="17" l="1"/>
  <c r="AT585" i="17"/>
  <c r="H585" i="17" l="1"/>
  <c r="AF585" i="17" s="1"/>
  <c r="E586" i="17" s="1"/>
  <c r="AS586" i="17" l="1"/>
  <c r="AT586" i="17"/>
  <c r="H586" i="17" l="1"/>
  <c r="AF586" i="17" s="1"/>
  <c r="E587" i="17" s="1"/>
  <c r="AS587" i="17" l="1"/>
  <c r="AT587" i="17"/>
  <c r="H587" i="17" l="1"/>
  <c r="AF587" i="17" s="1"/>
  <c r="E588" i="17" s="1"/>
  <c r="AS588" i="17" l="1"/>
  <c r="AT588" i="17"/>
  <c r="H588" i="17" l="1"/>
  <c r="AF588" i="17" s="1"/>
  <c r="E589" i="17" s="1"/>
  <c r="AS589" i="17" l="1"/>
  <c r="AT589" i="17"/>
  <c r="H589" i="17" l="1"/>
  <c r="AF589" i="17" s="1"/>
  <c r="E590" i="17" s="1"/>
  <c r="AS590" i="17" l="1"/>
  <c r="AT590" i="17"/>
  <c r="H590" i="17" l="1"/>
  <c r="AF590" i="17" s="1"/>
  <c r="E591" i="17" s="1"/>
  <c r="AS591" i="17" l="1"/>
  <c r="AT591" i="17"/>
  <c r="H591" i="17" l="1"/>
  <c r="AF591" i="17" s="1"/>
  <c r="E592" i="17" s="1"/>
  <c r="AS592" i="17" l="1"/>
  <c r="AT592" i="17"/>
  <c r="H592" i="17" l="1"/>
  <c r="AF592" i="17" s="1"/>
  <c r="E593" i="17" s="1"/>
  <c r="AS593" i="17" l="1"/>
  <c r="AT593" i="17"/>
  <c r="H593" i="17" l="1"/>
  <c r="AF593" i="17" s="1"/>
  <c r="E594" i="17" s="1"/>
  <c r="AS594" i="17" l="1"/>
  <c r="AT594" i="17"/>
  <c r="H594" i="17" l="1"/>
  <c r="AF594" i="17" s="1"/>
  <c r="E595" i="17" s="1"/>
  <c r="AS595" i="17" l="1"/>
  <c r="AT595" i="17"/>
  <c r="H595" i="17" l="1"/>
  <c r="AF595" i="17" s="1"/>
  <c r="E596" i="17" s="1"/>
  <c r="AS596" i="17" l="1"/>
  <c r="AT596" i="17"/>
  <c r="H596" i="17" l="1"/>
  <c r="AF596" i="17" s="1"/>
  <c r="E597" i="17" s="1"/>
  <c r="AS597" i="17" l="1"/>
  <c r="AT597" i="17"/>
  <c r="H597" i="17" l="1"/>
  <c r="AF597" i="17" s="1"/>
  <c r="E598" i="17" s="1"/>
  <c r="AS598" i="17" l="1"/>
  <c r="AT598" i="17"/>
  <c r="H598" i="17" l="1"/>
  <c r="AF598" i="17" s="1"/>
  <c r="E599" i="17" s="1"/>
  <c r="AS599" i="17" l="1"/>
  <c r="AT599" i="17"/>
  <c r="H599" i="17" l="1"/>
  <c r="AF599" i="17" s="1"/>
  <c r="E600" i="17" s="1"/>
  <c r="AS600" i="17" l="1"/>
  <c r="AT600" i="17"/>
  <c r="H600" i="17" l="1"/>
  <c r="AF600" i="17" s="1"/>
  <c r="E601" i="17" s="1"/>
  <c r="AS601" i="17" l="1"/>
  <c r="AT601" i="17"/>
  <c r="H601" i="17" l="1"/>
  <c r="AF601" i="17" s="1"/>
  <c r="E602" i="17" s="1"/>
  <c r="AS602" i="17" l="1"/>
  <c r="AT602" i="17"/>
  <c r="H602" i="17" l="1"/>
  <c r="AF602" i="17" s="1"/>
  <c r="E603" i="17" s="1"/>
  <c r="AS603" i="17" l="1"/>
  <c r="AT603" i="17"/>
  <c r="H603" i="17" l="1"/>
  <c r="AF603" i="17" s="1"/>
  <c r="E604" i="17" s="1"/>
  <c r="AS604" i="17" l="1"/>
  <c r="AT604" i="17"/>
  <c r="H604" i="17" l="1"/>
  <c r="AF604" i="17" s="1"/>
  <c r="E605" i="17" s="1"/>
  <c r="AS605" i="17" l="1"/>
  <c r="AT605" i="17"/>
  <c r="H605" i="17" l="1"/>
  <c r="AF605" i="17" s="1"/>
  <c r="E606" i="17" s="1"/>
  <c r="AS606" i="17" l="1"/>
  <c r="AT606" i="17"/>
  <c r="H606" i="17" l="1"/>
  <c r="AF606" i="17" s="1"/>
  <c r="E607" i="17" s="1"/>
  <c r="AS607" i="17" l="1"/>
  <c r="AT607" i="17"/>
  <c r="H607" i="17" l="1"/>
  <c r="AF607" i="17" s="1"/>
  <c r="E608" i="17" s="1"/>
  <c r="AS608" i="17" l="1"/>
  <c r="AT608" i="17"/>
  <c r="H608" i="17" l="1"/>
  <c r="AF608" i="17" s="1"/>
  <c r="E609" i="17" s="1"/>
  <c r="AS609" i="17" l="1"/>
  <c r="AT609" i="17"/>
  <c r="H609" i="17" l="1"/>
  <c r="AF609" i="17" s="1"/>
  <c r="E610" i="17" s="1"/>
  <c r="AS610" i="17" l="1"/>
  <c r="AT610" i="17"/>
  <c r="H610" i="17" l="1"/>
  <c r="AF610" i="17" s="1"/>
  <c r="E611" i="17" s="1"/>
  <c r="AS611" i="17" l="1"/>
  <c r="AT611" i="17"/>
  <c r="H611" i="17" l="1"/>
  <c r="AF611" i="17" s="1"/>
</calcChain>
</file>

<file path=xl/sharedStrings.xml><?xml version="1.0" encoding="utf-8"?>
<sst xmlns="http://schemas.openxmlformats.org/spreadsheetml/2006/main" count="339" uniqueCount="117">
  <si>
    <t>MODEL</t>
  </si>
  <si>
    <t>REGULATORY LOOP</t>
  </si>
  <si>
    <t>SIMULATION</t>
  </si>
  <si>
    <t>OUTPUT</t>
  </si>
  <si>
    <t>LOCAL SETTINGS</t>
  </si>
  <si>
    <t>Model Variables and Constants</t>
  </si>
  <si>
    <t>Measuring Element (Zero-order System)</t>
  </si>
  <si>
    <t>Integration Parameters</t>
  </si>
  <si>
    <t>Charts Parameters</t>
  </si>
  <si>
    <t>Variable</t>
  </si>
  <si>
    <t>Value</t>
  </si>
  <si>
    <t>Unit</t>
  </si>
  <si>
    <t>Description</t>
  </si>
  <si>
    <t>Measured Variable</t>
  </si>
  <si>
    <t>Time Unit</t>
  </si>
  <si>
    <t>Location</t>
  </si>
  <si>
    <t>Minimal integration step</t>
  </si>
  <si>
    <t>Range Limits</t>
  </si>
  <si>
    <t>Lower</t>
  </si>
  <si>
    <t>Final Time</t>
  </si>
  <si>
    <t>Number of simulated values</t>
  </si>
  <si>
    <t>Upper</t>
  </si>
  <si>
    <t>Integration Step</t>
  </si>
  <si>
    <t>Model Variables in Charts</t>
  </si>
  <si>
    <t>Integration Method</t>
  </si>
  <si>
    <t>Sec Y-axis</t>
  </si>
  <si>
    <t>Chart No.</t>
  </si>
  <si>
    <t>Display Parameters</t>
  </si>
  <si>
    <t>Controller</t>
  </si>
  <si>
    <t>Minimal display step</t>
  </si>
  <si>
    <t>Controlled Variable</t>
  </si>
  <si>
    <t>Disturbances</t>
  </si>
  <si>
    <t>Number of displayed values</t>
  </si>
  <si>
    <t>Set Point</t>
  </si>
  <si>
    <t>Change</t>
  </si>
  <si>
    <t>Parameters</t>
  </si>
  <si>
    <t>Times</t>
  </si>
  <si>
    <t>Mode</t>
  </si>
  <si>
    <t>1st</t>
  </si>
  <si>
    <t>2nd</t>
  </si>
  <si>
    <t>From</t>
  </si>
  <si>
    <t>To</t>
  </si>
  <si>
    <t>Control Action</t>
  </si>
  <si>
    <t>MODEL DATA VALIDATION</t>
  </si>
  <si>
    <t>Type</t>
  </si>
  <si>
    <t>Data for process simulation are OK</t>
  </si>
  <si>
    <r>
      <t>Gain r</t>
    </r>
    <r>
      <rPr>
        <b/>
        <sz val="8"/>
        <color indexed="18"/>
        <rFont val="Calibri"/>
        <family val="2"/>
        <charset val="238"/>
        <scheme val="minor"/>
      </rPr>
      <t>0</t>
    </r>
  </si>
  <si>
    <r>
      <t>Integral Time T</t>
    </r>
    <r>
      <rPr>
        <b/>
        <sz val="8"/>
        <color indexed="18"/>
        <rFont val="Calibri"/>
        <family val="2"/>
        <charset val="238"/>
        <scheme val="minor"/>
      </rPr>
      <t>i</t>
    </r>
  </si>
  <si>
    <r>
      <t>Derivative Time T</t>
    </r>
    <r>
      <rPr>
        <b/>
        <sz val="8"/>
        <color indexed="18"/>
        <rFont val="Calibri"/>
        <family val="2"/>
        <charset val="238"/>
        <scheme val="minor"/>
      </rPr>
      <t>d</t>
    </r>
  </si>
  <si>
    <t>Final Control Element (Zero-order System)</t>
  </si>
  <si>
    <t>Manipulated Variable</t>
  </si>
  <si>
    <t>LOOP DATA VALIDATION</t>
  </si>
  <si>
    <t>Data for loop simulation are OK</t>
  </si>
  <si>
    <t>Model First-order ODEs</t>
  </si>
  <si>
    <t>Output Variables</t>
  </si>
  <si>
    <t>Derivative</t>
  </si>
  <si>
    <t>Symbolic Formula (read only)</t>
  </si>
  <si>
    <t>Regulatory Loop Variables in Charts</t>
  </si>
  <si>
    <t>Your Notes:</t>
  </si>
  <si>
    <t>PSICDATA</t>
  </si>
  <si>
    <t>Model</t>
  </si>
  <si>
    <t>Microsoft Excel 16.0 data sheet of process simulation and control</t>
  </si>
  <si>
    <t>Euler</t>
  </si>
  <si>
    <t>step</t>
  </si>
  <si>
    <t>time</t>
  </si>
  <si>
    <t>1</t>
  </si>
  <si>
    <t>Initial Value</t>
  </si>
  <si>
    <t>Final Value</t>
  </si>
  <si>
    <t>PARAMETERS (for controller tunning)</t>
  </si>
  <si>
    <t>REGULATORY CONTROL LOOP</t>
  </si>
  <si>
    <t>Process Variable</t>
  </si>
  <si>
    <t>Limits</t>
  </si>
  <si>
    <t>Higher</t>
  </si>
  <si>
    <t>Gain</t>
  </si>
  <si>
    <t>Integration Time</t>
  </si>
  <si>
    <t>Derivativation Time</t>
  </si>
  <si>
    <t>PSICREPORT</t>
  </si>
  <si>
    <t>Loop</t>
  </si>
  <si>
    <t>Disturbances / Set Point Changes</t>
  </si>
  <si>
    <t>Direct</t>
  </si>
  <si>
    <t>PI</t>
  </si>
  <si>
    <t>Tip:  Tune controller parameters by controls in the Controller group and then press the Rerun button for recalculation results</t>
  </si>
  <si>
    <t>Microsoft Excel 16.0 report of process simulation and control for data sheet [Heater.7.5.xlsx]Model 1</t>
  </si>
  <si>
    <t>Created 29.5.2020 22:09:30</t>
  </si>
  <si>
    <t>T1</t>
  </si>
  <si>
    <t>T2</t>
  </si>
  <si>
    <t>F</t>
  </si>
  <si>
    <t>V</t>
  </si>
  <si>
    <t>P</t>
  </si>
  <si>
    <t>eta</t>
  </si>
  <si>
    <t>ro</t>
  </si>
  <si>
    <t>cp</t>
  </si>
  <si>
    <t>°C</t>
  </si>
  <si>
    <t>L/min</t>
  </si>
  <si>
    <t>L</t>
  </si>
  <si>
    <t>kJ/kg/°C</t>
  </si>
  <si>
    <t>kg/L</t>
  </si>
  <si>
    <t>kJ/min</t>
  </si>
  <si>
    <t>water input temperature</t>
  </si>
  <si>
    <t>water flowrate</t>
  </si>
  <si>
    <t>heater volume</t>
  </si>
  <si>
    <t>power input</t>
  </si>
  <si>
    <t>heating efficiency</t>
  </si>
  <si>
    <t>water density</t>
  </si>
  <si>
    <t>water heat capacity</t>
  </si>
  <si>
    <t>water output/inside temperature</t>
  </si>
  <si>
    <t>Embedded on report sheet</t>
  </si>
  <si>
    <t>Created 29.5.2020 22:15:10</t>
  </si>
  <si>
    <t>min</t>
  </si>
  <si>
    <t>Created 29.5.2020 22:15:30</t>
  </si>
  <si>
    <t>Error</t>
  </si>
  <si>
    <t>Microsoft Excel 16.0 report of process simulation and control for data sheet [Heater.7.5.xlsx]Loop</t>
  </si>
  <si>
    <t>Readme</t>
  </si>
  <si>
    <t>1. Enable macros</t>
  </si>
  <si>
    <t>Created 29.5.2020 22:51:40</t>
  </si>
  <si>
    <t>After opening this example:</t>
  </si>
  <si>
    <t>2. Update add-in link (PSIC / Update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</si>
</sst>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%"/>
    <numFmt numFmtId="165" formatCode="&quot;d&quot;@&quot;/dt&quot;"/>
    <numFmt numFmtId="166" formatCode="0.00000"/>
    <numFmt numFmtId="167" formatCode="General;General;"/>
    <numFmt numFmtId="168" formatCode="0.0"/>
    <numFmt numFmtId="169" formatCode=";;;&quot;Error&quot;"/>
    <numFmt numFmtId="170" formatCode=";;;&quot;Controller Output&quot;"/>
    <numFmt numFmtId="171" formatCode=";;;&quot;Set Point&quot;"/>
    <numFmt numFmtId="172" formatCode="[=1]&quot;Direct&quot;;[=-1]&quot;Reverse&quot;;&quot;Unkown&quot;"/>
  </numFmts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14"/>
      <color rgb="FF9933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b/>
      <sz val="14"/>
      <color theme="1" tint="0.499984740745262"/>
      <name val="Calibri"/>
      <family val="2"/>
      <charset val="238"/>
      <scheme val="minor"/>
    </font>
    <font>
      <b/>
      <sz val="11"/>
      <color theme="1" tint="0.499984740745262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sz val="11"/>
      <color rgb="FF000080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b/>
      <sz val="8"/>
      <color indexed="1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theme="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9933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B4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indexed="23"/>
      </top>
      <bottom style="hair">
        <color indexed="23"/>
      </bottom>
      <diagonal/>
    </border>
    <border>
      <left/>
      <right/>
      <top style="medium">
        <color rgb="FF808080"/>
      </top>
      <bottom style="hair">
        <color rgb="FF80808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theme="1" tint="0.499984740745262"/>
      </top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indexed="23"/>
      </top>
      <bottom/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theme="1" tint="0.499984740745262"/>
      </top>
      <bottom style="medium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indexed="23"/>
      </bottom>
      <diagonal/>
    </border>
    <border>
      <left/>
      <right/>
      <top style="hair">
        <color indexed="23"/>
      </top>
      <bottom style="medium">
        <color indexed="23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hair">
        <color indexed="23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indexed="23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/>
      <diagonal/>
    </border>
    <border>
      <left/>
      <right/>
      <top style="medium">
        <color indexed="23"/>
      </top>
      <bottom/>
      <diagonal/>
    </border>
  </borders>
  <cellStyleXfs count="3">
    <xf numFmtId="0" fontId="0" fillId="0" borderId="0"/>
    <xf numFmtId="0" fontId="8" fillId="0" borderId="0"/>
    <xf numFmtId="0" fontId="20" fillId="0" borderId="0" applyNumberFormat="0" applyFill="0" applyBorder="0" applyAlignment="0" applyProtection="0"/>
  </cellStyleXfs>
  <cellXfs count="267">
    <xf numFmtId="0" fontId="0" fillId="0" borderId="0" xfId="0"/>
    <xf numFmtId="0" fontId="5" fillId="0" borderId="0" xfId="0" applyFont="1" applyBorder="1" applyAlignment="1" applyProtection="1">
      <alignment horizontal="left" vertical="center" indent="2"/>
      <protection hidden="1"/>
    </xf>
    <xf numFmtId="0" fontId="0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left" indent="2"/>
      <protection hidden="1"/>
    </xf>
    <xf numFmtId="0" fontId="0" fillId="2" borderId="0" xfId="0" applyFont="1" applyFill="1" applyAlignment="1" applyProtection="1">
      <alignment vertical="center"/>
      <protection hidden="1"/>
    </xf>
    <xf numFmtId="0" fontId="5" fillId="0" borderId="0" xfId="0" applyFont="1" applyAlignment="1" applyProtection="1">
      <alignment horizontal="left" vertical="center" indent="2"/>
      <protection hidden="1"/>
    </xf>
    <xf numFmtId="0" fontId="6" fillId="0" borderId="0" xfId="0" applyFont="1" applyAlignment="1" applyProtection="1">
      <alignment horizontal="left" vertical="center" indent="2"/>
      <protection hidden="1"/>
    </xf>
    <xf numFmtId="0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Fill="1" applyAlignment="1" applyProtection="1">
      <alignment vertical="center"/>
      <protection hidden="1"/>
    </xf>
    <xf numFmtId="0" fontId="7" fillId="0" borderId="0" xfId="0" applyFont="1" applyFill="1" applyAlignment="1" applyProtection="1">
      <alignment vertical="center"/>
      <protection hidden="1"/>
    </xf>
    <xf numFmtId="0" fontId="9" fillId="0" borderId="0" xfId="1" applyFont="1" applyFill="1" applyAlignment="1" applyProtection="1">
      <alignment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9" fillId="0" borderId="0" xfId="1" applyFont="1" applyAlignment="1" applyProtection="1">
      <alignment vertical="center"/>
      <protection hidden="1"/>
    </xf>
    <xf numFmtId="0" fontId="10" fillId="0" borderId="0" xfId="1" applyFont="1" applyAlignment="1" applyProtection="1">
      <protection hidden="1"/>
    </xf>
    <xf numFmtId="0" fontId="11" fillId="0" borderId="0" xfId="1" applyFont="1" applyAlignment="1" applyProtection="1">
      <alignment vertical="center"/>
      <protection hidden="1"/>
    </xf>
    <xf numFmtId="0" fontId="11" fillId="0" borderId="0" xfId="1" applyFont="1" applyFill="1" applyAlignment="1" applyProtection="1">
      <alignment vertical="center"/>
      <protection hidden="1"/>
    </xf>
    <xf numFmtId="0" fontId="1" fillId="0" borderId="0" xfId="0" applyFont="1" applyAlignment="1" applyProtection="1">
      <alignment vertical="center"/>
      <protection hidden="1"/>
    </xf>
    <xf numFmtId="0" fontId="12" fillId="0" borderId="0" xfId="1" applyFont="1" applyAlignment="1" applyProtection="1">
      <alignment vertical="center"/>
      <protection hidden="1"/>
    </xf>
    <xf numFmtId="22" fontId="9" fillId="0" borderId="0" xfId="1" applyNumberFormat="1" applyFont="1" applyFill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10" fillId="0" borderId="0" xfId="1" applyFont="1" applyAlignment="1" applyProtection="1">
      <alignment vertical="center"/>
      <protection hidden="1"/>
    </xf>
    <xf numFmtId="0" fontId="13" fillId="2" borderId="0" xfId="1" applyFont="1" applyFill="1" applyBorder="1" applyAlignment="1" applyProtection="1">
      <alignment horizontal="left"/>
      <protection hidden="1"/>
    </xf>
    <xf numFmtId="0" fontId="14" fillId="2" borderId="0" xfId="1" applyFont="1" applyFill="1" applyBorder="1" applyAlignment="1" applyProtection="1">
      <alignment horizontal="left"/>
      <protection hidden="1"/>
    </xf>
    <xf numFmtId="0" fontId="14" fillId="2" borderId="0" xfId="1" applyFont="1" applyFill="1" applyBorder="1" applyAlignment="1" applyProtection="1">
      <alignment horizontal="left" vertical="center"/>
      <protection hidden="1"/>
    </xf>
    <xf numFmtId="0" fontId="14" fillId="2" borderId="0" xfId="1" applyFont="1" applyFill="1" applyBorder="1" applyAlignment="1" applyProtection="1">
      <alignment horizontal="right" vertical="center"/>
      <protection hidden="1"/>
    </xf>
    <xf numFmtId="0" fontId="9" fillId="0" borderId="0" xfId="1" applyFont="1" applyFill="1" applyAlignment="1" applyProtection="1">
      <protection hidden="1"/>
    </xf>
    <xf numFmtId="0" fontId="2" fillId="0" borderId="0" xfId="1" applyFont="1" applyFill="1" applyAlignment="1" applyProtection="1">
      <alignment vertical="center"/>
      <protection hidden="1"/>
    </xf>
    <xf numFmtId="0" fontId="9" fillId="0" borderId="0" xfId="1" applyFont="1" applyAlignment="1" applyProtection="1">
      <protection hidden="1"/>
    </xf>
    <xf numFmtId="0" fontId="15" fillId="2" borderId="0" xfId="1" applyFont="1" applyFill="1" applyBorder="1" applyAlignment="1" applyProtection="1">
      <protection hidden="1"/>
    </xf>
    <xf numFmtId="0" fontId="15" fillId="2" borderId="0" xfId="1" applyFont="1" applyFill="1" applyBorder="1" applyAlignment="1" applyProtection="1">
      <alignment vertical="center"/>
      <protection hidden="1"/>
    </xf>
    <xf numFmtId="0" fontId="15" fillId="2" borderId="0" xfId="1" applyFont="1" applyFill="1" applyBorder="1" applyAlignment="1" applyProtection="1">
      <alignment horizontal="right" vertical="center"/>
      <protection hidden="1"/>
    </xf>
    <xf numFmtId="0" fontId="9" fillId="0" borderId="0" xfId="1" applyFont="1" applyFill="1" applyAlignment="1"/>
    <xf numFmtId="0" fontId="16" fillId="0" borderId="1" xfId="1" applyFont="1" applyFill="1" applyBorder="1" applyAlignment="1">
      <alignment horizontal="right" indent="1"/>
    </xf>
    <xf numFmtId="0" fontId="7" fillId="0" borderId="0" xfId="0" applyFont="1" applyAlignment="1">
      <alignment vertical="center" shrinkToFit="1"/>
    </xf>
    <xf numFmtId="1" fontId="7" fillId="0" borderId="0" xfId="0" applyNumberFormat="1" applyFont="1" applyAlignment="1"/>
    <xf numFmtId="0" fontId="9" fillId="3" borderId="2" xfId="1" applyFont="1" applyFill="1" applyBorder="1" applyAlignment="1" applyProtection="1">
      <alignment horizontal="right"/>
      <protection locked="0"/>
    </xf>
    <xf numFmtId="0" fontId="0" fillId="0" borderId="0" xfId="0" applyFont="1" applyAlignment="1">
      <alignment vertical="center"/>
    </xf>
    <xf numFmtId="0" fontId="7" fillId="0" borderId="0" xfId="0" applyFont="1" applyAlignment="1"/>
    <xf numFmtId="0" fontId="17" fillId="0" borderId="4" xfId="1" applyFont="1" applyFill="1" applyBorder="1" applyAlignment="1">
      <alignment horizontal="left"/>
    </xf>
    <xf numFmtId="0" fontId="0" fillId="2" borderId="0" xfId="0" applyFont="1" applyFill="1" applyAlignment="1" applyProtection="1">
      <protection locked="0"/>
    </xf>
    <xf numFmtId="0" fontId="15" fillId="2" borderId="5" xfId="1" applyFont="1" applyFill="1" applyBorder="1" applyAlignment="1" applyProtection="1">
      <alignment horizontal="left"/>
      <protection locked="0"/>
    </xf>
    <xf numFmtId="0" fontId="14" fillId="2" borderId="5" xfId="1" applyFont="1" applyFill="1" applyBorder="1" applyAlignment="1" applyProtection="1">
      <alignment horizontal="left" vertical="center"/>
      <protection locked="0"/>
    </xf>
    <xf numFmtId="0" fontId="15" fillId="2" borderId="5" xfId="1" applyNumberFormat="1" applyFont="1" applyFill="1" applyBorder="1" applyAlignment="1" applyProtection="1">
      <alignment horizontal="right"/>
      <protection locked="0"/>
    </xf>
    <xf numFmtId="0" fontId="18" fillId="0" borderId="0" xfId="0" quotePrefix="1" applyFont="1" applyAlignment="1" applyProtection="1">
      <alignment vertical="center"/>
      <protection hidden="1"/>
    </xf>
    <xf numFmtId="0" fontId="7" fillId="0" borderId="0" xfId="1" applyFont="1" applyFill="1" applyAlignment="1">
      <alignment shrinkToFit="1"/>
    </xf>
    <xf numFmtId="0" fontId="9" fillId="6" borderId="6" xfId="1" applyFont="1" applyFill="1" applyBorder="1" applyAlignment="1" applyProtection="1">
      <alignment horizontal="left"/>
      <protection locked="0"/>
    </xf>
    <xf numFmtId="0" fontId="9" fillId="6" borderId="6" xfId="1" applyNumberFormat="1" applyFont="1" applyFill="1" applyBorder="1" applyAlignment="1" applyProtection="1">
      <alignment horizontal="right" indent="1" shrinkToFit="1"/>
      <protection locked="0"/>
    </xf>
    <xf numFmtId="0" fontId="7" fillId="0" borderId="0" xfId="0" applyFont="1" applyAlignment="1">
      <alignment horizontal="left" shrinkToFit="1"/>
    </xf>
    <xf numFmtId="0" fontId="9" fillId="3" borderId="8" xfId="1" applyFont="1" applyFill="1" applyBorder="1" applyAlignment="1" applyProtection="1">
      <alignment horizontal="right"/>
      <protection locked="0"/>
    </xf>
    <xf numFmtId="0" fontId="7" fillId="0" borderId="0" xfId="1" applyFont="1" applyFill="1" applyAlignment="1"/>
    <xf numFmtId="0" fontId="4" fillId="0" borderId="0" xfId="1" applyFont="1" applyFill="1" applyAlignment="1">
      <alignment vertical="center"/>
    </xf>
    <xf numFmtId="0" fontId="15" fillId="2" borderId="10" xfId="1" applyFont="1" applyFill="1" applyBorder="1" applyAlignment="1" applyProtection="1">
      <alignment horizontal="left"/>
      <protection locked="0"/>
    </xf>
    <xf numFmtId="0" fontId="14" fillId="2" borderId="10" xfId="1" applyFont="1" applyFill="1" applyBorder="1" applyAlignment="1" applyProtection="1">
      <alignment horizontal="left" vertical="center"/>
      <protection locked="0"/>
    </xf>
    <xf numFmtId="0" fontId="15" fillId="2" borderId="10" xfId="1" applyNumberFormat="1" applyFont="1" applyFill="1" applyBorder="1" applyAlignment="1" applyProtection="1">
      <alignment horizontal="right"/>
      <protection locked="0"/>
    </xf>
    <xf numFmtId="0" fontId="9" fillId="6" borderId="11" xfId="1" applyNumberFormat="1" applyFont="1" applyFill="1" applyBorder="1" applyAlignment="1" applyProtection="1">
      <alignment horizontal="right" indent="1" shrinkToFit="1"/>
      <protection locked="0"/>
    </xf>
    <xf numFmtId="0" fontId="17" fillId="0" borderId="13" xfId="1" applyFont="1" applyFill="1" applyBorder="1" applyAlignment="1"/>
    <xf numFmtId="0" fontId="9" fillId="3" borderId="13" xfId="1" applyFont="1" applyFill="1" applyBorder="1" applyAlignment="1" applyProtection="1">
      <alignment horizontal="right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vertical="center"/>
      <protection locked="0"/>
    </xf>
    <xf numFmtId="0" fontId="0" fillId="2" borderId="0" xfId="0" applyFont="1" applyFill="1" applyAlignment="1" applyProtection="1">
      <alignment horizontal="right"/>
      <protection locked="0"/>
    </xf>
    <xf numFmtId="0" fontId="18" fillId="0" borderId="0" xfId="0" applyFont="1" applyAlignment="1" applyProtection="1">
      <alignment vertical="center"/>
      <protection hidden="1"/>
    </xf>
    <xf numFmtId="0" fontId="0" fillId="0" borderId="0" xfId="0" applyFont="1" applyAlignment="1"/>
    <xf numFmtId="0" fontId="9" fillId="0" borderId="0" xfId="0" applyFont="1" applyAlignment="1">
      <alignment vertical="center"/>
    </xf>
    <xf numFmtId="0" fontId="16" fillId="0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horizontal="right"/>
    </xf>
    <xf numFmtId="0" fontId="15" fillId="2" borderId="0" xfId="1" applyFont="1" applyFill="1" applyBorder="1" applyAlignment="1" applyProtection="1">
      <protection locked="0"/>
    </xf>
    <xf numFmtId="0" fontId="15" fillId="2" borderId="0" xfId="1" applyFont="1" applyFill="1" applyBorder="1" applyAlignment="1" applyProtection="1">
      <alignment horizontal="left"/>
      <protection locked="0"/>
    </xf>
    <xf numFmtId="0" fontId="15" fillId="2" borderId="0" xfId="1" applyFont="1" applyFill="1" applyBorder="1" applyAlignment="1" applyProtection="1">
      <alignment vertical="center"/>
      <protection locked="0"/>
    </xf>
    <xf numFmtId="0" fontId="9" fillId="2" borderId="0" xfId="1" applyFont="1" applyFill="1" applyAlignment="1" applyProtection="1">
      <alignment horizontal="right"/>
      <protection locked="0"/>
    </xf>
    <xf numFmtId="0" fontId="9" fillId="0" borderId="0" xfId="1" applyFont="1" applyAlignment="1"/>
    <xf numFmtId="0" fontId="9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0" applyFont="1" applyAlignment="1" applyProtection="1">
      <alignment vertical="center" shrinkToFit="1"/>
    </xf>
    <xf numFmtId="0" fontId="9" fillId="5" borderId="5" xfId="0" applyFont="1" applyFill="1" applyBorder="1" applyAlignment="1" applyProtection="1">
      <alignment horizontal="left"/>
      <protection locked="0"/>
    </xf>
    <xf numFmtId="0" fontId="9" fillId="5" borderId="5" xfId="0" applyFont="1" applyFill="1" applyBorder="1" applyAlignment="1" applyProtection="1">
      <alignment horizontal="right" vertical="center" shrinkToFit="1"/>
    </xf>
    <xf numFmtId="0" fontId="9" fillId="5" borderId="5" xfId="0" applyFont="1" applyFill="1" applyBorder="1" applyAlignment="1" applyProtection="1">
      <alignment horizontal="right"/>
      <protection locked="0"/>
    </xf>
    <xf numFmtId="0" fontId="7" fillId="0" borderId="0" xfId="0" applyFont="1" applyAlignment="1" applyProtection="1">
      <alignment shrinkToFit="1"/>
      <protection locked="0" hidden="1"/>
    </xf>
    <xf numFmtId="0" fontId="2" fillId="0" borderId="0" xfId="0" applyFont="1" applyAlignment="1" applyProtection="1">
      <alignment shrinkToFit="1"/>
      <protection hidden="1"/>
    </xf>
    <xf numFmtId="0" fontId="9" fillId="0" borderId="0" xfId="1" applyFont="1" applyFill="1" applyAlignment="1">
      <alignment vertical="center"/>
    </xf>
    <xf numFmtId="0" fontId="9" fillId="0" borderId="16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5" borderId="11" xfId="0" applyFont="1" applyFill="1" applyBorder="1" applyAlignment="1" applyProtection="1">
      <alignment horizontal="left"/>
      <protection locked="0"/>
    </xf>
    <xf numFmtId="0" fontId="9" fillId="5" borderId="11" xfId="0" applyFont="1" applyFill="1" applyBorder="1" applyAlignment="1" applyProtection="1">
      <alignment horizontal="right" vertical="center" shrinkToFit="1"/>
    </xf>
    <xf numFmtId="0" fontId="9" fillId="5" borderId="11" xfId="0" applyFont="1" applyFill="1" applyBorder="1" applyAlignment="1" applyProtection="1">
      <alignment horizontal="right"/>
      <protection locked="0"/>
    </xf>
    <xf numFmtId="0" fontId="9" fillId="2" borderId="0" xfId="1" applyFont="1" applyFill="1" applyAlignment="1" applyProtection="1">
      <protection locked="0"/>
    </xf>
    <xf numFmtId="0" fontId="9" fillId="3" borderId="8" xfId="1" applyFont="1" applyFill="1" applyBorder="1" applyAlignment="1" applyProtection="1">
      <alignment horizontal="right" shrinkToFit="1"/>
      <protection locked="0"/>
    </xf>
    <xf numFmtId="0" fontId="16" fillId="0" borderId="10" xfId="1" applyFont="1" applyFill="1" applyBorder="1" applyAlignment="1">
      <alignment horizontal="center" wrapText="1"/>
    </xf>
    <xf numFmtId="0" fontId="16" fillId="0" borderId="15" xfId="1" applyFont="1" applyFill="1" applyBorder="1" applyAlignment="1">
      <alignment horizontal="center" wrapText="1"/>
    </xf>
    <xf numFmtId="0" fontId="9" fillId="0" borderId="0" xfId="0" applyFont="1" applyAlignment="1"/>
    <xf numFmtId="0" fontId="7" fillId="0" borderId="0" xfId="0" applyFont="1" applyAlignment="1">
      <alignment vertical="center"/>
    </xf>
    <xf numFmtId="0" fontId="9" fillId="4" borderId="5" xfId="1" applyFont="1" applyFill="1" applyBorder="1" applyAlignment="1" applyProtection="1">
      <alignment horizontal="left"/>
      <protection locked="0"/>
    </xf>
    <xf numFmtId="164" fontId="9" fillId="4" borderId="5" xfId="1" applyNumberFormat="1" applyFont="1" applyFill="1" applyBorder="1" applyAlignment="1" applyProtection="1">
      <alignment horizontal="left"/>
      <protection locked="0"/>
    </xf>
    <xf numFmtId="0" fontId="4" fillId="0" borderId="5" xfId="1" applyNumberFormat="1" applyFont="1" applyFill="1" applyBorder="1" applyAlignment="1" applyProtection="1">
      <alignment horizontal="right"/>
    </xf>
    <xf numFmtId="0" fontId="4" fillId="0" borderId="14" xfId="1" applyNumberFormat="1" applyFont="1" applyFill="1" applyBorder="1" applyAlignment="1" applyProtection="1">
      <alignment horizontal="right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shrinkToFit="1"/>
    </xf>
    <xf numFmtId="0" fontId="13" fillId="2" borderId="0" xfId="1" applyFont="1" applyFill="1" applyBorder="1" applyAlignment="1" applyProtection="1">
      <alignment horizontal="left"/>
      <protection locked="0"/>
    </xf>
    <xf numFmtId="0" fontId="15" fillId="2" borderId="0" xfId="0" applyFont="1" applyFill="1" applyAlignment="1" applyProtection="1">
      <alignment horizontal="left"/>
      <protection locked="0"/>
    </xf>
    <xf numFmtId="0" fontId="15" fillId="2" borderId="0" xfId="0" applyFont="1" applyFill="1" applyAlignment="1" applyProtection="1">
      <alignment vertical="center"/>
      <protection locked="0"/>
    </xf>
    <xf numFmtId="0" fontId="7" fillId="0" borderId="0" xfId="0" applyFont="1" applyAlignment="1">
      <alignment horizontal="left" vertical="center" shrinkToFit="1"/>
    </xf>
    <xf numFmtId="0" fontId="9" fillId="4" borderId="11" xfId="1" applyFont="1" applyFill="1" applyBorder="1" applyAlignment="1" applyProtection="1">
      <alignment horizontal="left"/>
      <protection locked="0"/>
    </xf>
    <xf numFmtId="164" fontId="9" fillId="4" borderId="11" xfId="1" applyNumberFormat="1" applyFont="1" applyFill="1" applyBorder="1" applyAlignment="1" applyProtection="1">
      <alignment horizontal="left"/>
      <protection locked="0"/>
    </xf>
    <xf numFmtId="0" fontId="4" fillId="0" borderId="11" xfId="1" applyNumberFormat="1" applyFont="1" applyFill="1" applyBorder="1" applyAlignment="1" applyProtection="1">
      <alignment horizontal="right"/>
    </xf>
    <xf numFmtId="0" fontId="4" fillId="0" borderId="9" xfId="1" applyNumberFormat="1" applyFont="1" applyFill="1" applyBorder="1" applyAlignment="1" applyProtection="1">
      <alignment horizontal="right"/>
    </xf>
    <xf numFmtId="0" fontId="15" fillId="2" borderId="0" xfId="0" applyNumberFormat="1" applyFont="1" applyFill="1" applyAlignment="1" applyProtection="1">
      <alignment horizontal="right"/>
      <protection locked="0"/>
    </xf>
    <xf numFmtId="0" fontId="14" fillId="2" borderId="0" xfId="1" applyFont="1" applyFill="1" applyBorder="1" applyAlignment="1" applyProtection="1">
      <alignment horizontal="left"/>
      <protection locked="0"/>
    </xf>
    <xf numFmtId="0" fontId="15" fillId="2" borderId="0" xfId="1" applyFont="1" applyFill="1" applyBorder="1" applyAlignment="1" applyProtection="1">
      <alignment horizontal="center" vertical="center"/>
      <protection locked="0"/>
    </xf>
    <xf numFmtId="0" fontId="9" fillId="3" borderId="8" xfId="1" applyNumberFormat="1" applyFont="1" applyFill="1" applyBorder="1" applyAlignment="1" applyProtection="1">
      <alignment horizontal="right"/>
      <protection locked="0"/>
    </xf>
    <xf numFmtId="0" fontId="9" fillId="5" borderId="11" xfId="1" applyFont="1" applyFill="1" applyBorder="1" applyAlignment="1" applyProtection="1">
      <alignment horizontal="left"/>
      <protection locked="0"/>
    </xf>
    <xf numFmtId="0" fontId="9" fillId="5" borderId="11" xfId="1" applyFont="1" applyFill="1" applyBorder="1" applyAlignment="1" applyProtection="1">
      <alignment horizontal="right" vertical="center" shrinkToFit="1"/>
    </xf>
    <xf numFmtId="0" fontId="9" fillId="5" borderId="11" xfId="1" applyFont="1" applyFill="1" applyBorder="1" applyAlignment="1" applyProtection="1">
      <alignment horizontal="right"/>
      <protection locked="0"/>
    </xf>
    <xf numFmtId="0" fontId="15" fillId="2" borderId="5" xfId="1" applyFont="1" applyFill="1" applyBorder="1" applyAlignment="1" applyProtection="1">
      <alignment horizontal="right"/>
      <protection locked="0"/>
    </xf>
    <xf numFmtId="0" fontId="15" fillId="2" borderId="11" xfId="1" applyFont="1" applyFill="1" applyBorder="1" applyAlignment="1" applyProtection="1">
      <alignment horizontal="left"/>
      <protection locked="0"/>
    </xf>
    <xf numFmtId="0" fontId="14" fillId="2" borderId="11" xfId="1" applyFont="1" applyFill="1" applyBorder="1" applyAlignment="1" applyProtection="1">
      <alignment horizontal="left" vertical="center"/>
      <protection locked="0"/>
    </xf>
    <xf numFmtId="0" fontId="15" fillId="2" borderId="11" xfId="1" applyFont="1" applyFill="1" applyBorder="1" applyAlignment="1" applyProtection="1">
      <alignment horizontal="right"/>
      <protection locked="0"/>
    </xf>
    <xf numFmtId="0" fontId="14" fillId="2" borderId="0" xfId="1" applyFont="1" applyFill="1" applyBorder="1" applyAlignment="1" applyProtection="1">
      <protection locked="0"/>
    </xf>
    <xf numFmtId="0" fontId="7" fillId="0" borderId="0" xfId="1" applyFont="1" applyAlignment="1" applyProtection="1">
      <alignment shrinkToFit="1"/>
      <protection locked="0" hidden="1"/>
    </xf>
    <xf numFmtId="0" fontId="2" fillId="0" borderId="0" xfId="1" applyFont="1" applyAlignment="1" applyProtection="1">
      <alignment shrinkToFit="1"/>
      <protection hidden="1"/>
    </xf>
    <xf numFmtId="0" fontId="15" fillId="2" borderId="11" xfId="1" quotePrefix="1" applyFont="1" applyFill="1" applyBorder="1" applyAlignment="1" applyProtection="1">
      <alignment horizontal="right"/>
      <protection locked="0"/>
    </xf>
    <xf numFmtId="0" fontId="9" fillId="3" borderId="13" xfId="1" applyNumberFormat="1" applyFont="1" applyFill="1" applyBorder="1" applyAlignment="1" applyProtection="1">
      <alignment horizontal="right"/>
      <protection locked="0"/>
    </xf>
    <xf numFmtId="0" fontId="0" fillId="0" borderId="0" xfId="0" applyFont="1" applyAlignment="1" applyProtection="1">
      <alignment vertical="center"/>
    </xf>
    <xf numFmtId="0" fontId="15" fillId="2" borderId="10" xfId="1" applyFont="1" applyFill="1" applyBorder="1" applyAlignment="1" applyProtection="1">
      <alignment horizontal="right"/>
      <protection locked="0"/>
    </xf>
    <xf numFmtId="0" fontId="0" fillId="0" borderId="0" xfId="0" applyAlignment="1" applyProtection="1">
      <alignment vertical="center"/>
    </xf>
    <xf numFmtId="0" fontId="15" fillId="2" borderId="0" xfId="0" applyFont="1" applyFill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vertical="center"/>
    </xf>
    <xf numFmtId="0" fontId="15" fillId="2" borderId="0" xfId="1" applyFont="1" applyFill="1" applyBorder="1" applyAlignment="1" applyProtection="1">
      <alignment horizontal="right"/>
      <protection locked="0"/>
    </xf>
    <xf numFmtId="0" fontId="9" fillId="6" borderId="10" xfId="1" applyNumberFormat="1" applyFont="1" applyFill="1" applyBorder="1" applyAlignment="1" applyProtection="1">
      <alignment horizontal="right" indent="1" shrinkToFit="1"/>
      <protection locked="0"/>
    </xf>
    <xf numFmtId="0" fontId="9" fillId="4" borderId="10" xfId="1" applyFont="1" applyFill="1" applyBorder="1" applyAlignment="1" applyProtection="1">
      <alignment horizontal="left"/>
      <protection locked="0"/>
    </xf>
    <xf numFmtId="164" fontId="9" fillId="4" borderId="10" xfId="1" applyNumberFormat="1" applyFont="1" applyFill="1" applyBorder="1" applyAlignment="1" applyProtection="1">
      <alignment horizontal="left"/>
      <protection locked="0"/>
    </xf>
    <xf numFmtId="0" fontId="4" fillId="0" borderId="10" xfId="1" applyNumberFormat="1" applyFont="1" applyFill="1" applyBorder="1" applyAlignment="1" applyProtection="1">
      <alignment horizontal="right"/>
    </xf>
    <xf numFmtId="0" fontId="4" fillId="0" borderId="15" xfId="1" applyNumberFormat="1" applyFont="1" applyFill="1" applyBorder="1" applyAlignment="1" applyProtection="1">
      <alignment horizontal="right"/>
    </xf>
    <xf numFmtId="0" fontId="9" fillId="5" borderId="10" xfId="0" applyFont="1" applyFill="1" applyBorder="1" applyAlignment="1" applyProtection="1">
      <alignment horizontal="left"/>
      <protection locked="0"/>
    </xf>
    <xf numFmtId="0" fontId="9" fillId="5" borderId="10" xfId="0" applyFont="1" applyFill="1" applyBorder="1" applyAlignment="1" applyProtection="1">
      <alignment horizontal="right" vertical="center" shrinkToFit="1"/>
    </xf>
    <xf numFmtId="0" fontId="9" fillId="5" borderId="10" xfId="0" applyFont="1" applyFill="1" applyBorder="1" applyAlignment="1" applyProtection="1">
      <alignment horizontal="right"/>
      <protection locked="0"/>
    </xf>
    <xf numFmtId="0" fontId="9" fillId="0" borderId="0" xfId="1" applyFont="1" applyFill="1" applyAlignment="1">
      <alignment vertical="center" shrinkToFit="1"/>
    </xf>
    <xf numFmtId="0" fontId="9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6" fillId="0" borderId="17" xfId="1" applyFont="1" applyFill="1" applyBorder="1" applyAlignment="1">
      <alignment horizontal="left"/>
    </xf>
    <xf numFmtId="1" fontId="2" fillId="0" borderId="0" xfId="0" applyNumberFormat="1" applyFont="1" applyAlignment="1" applyProtection="1">
      <alignment horizontal="center" vertical="center"/>
      <protection hidden="1"/>
    </xf>
    <xf numFmtId="165" fontId="7" fillId="0" borderId="0" xfId="1" applyNumberFormat="1" applyFont="1" applyFill="1" applyAlignment="1">
      <alignment horizontal="right" shrinkToFit="1"/>
    </xf>
    <xf numFmtId="165" fontId="9" fillId="6" borderId="6" xfId="1" applyNumberFormat="1" applyFont="1" applyFill="1" applyBorder="1" applyAlignment="1" applyProtection="1">
      <alignment horizontal="left"/>
      <protection locked="0"/>
    </xf>
    <xf numFmtId="166" fontId="9" fillId="6" borderId="11" xfId="1" applyNumberFormat="1" applyFont="1" applyFill="1" applyBorder="1" applyAlignment="1" applyProtection="1">
      <alignment horizontal="right" vertical="center" indent="1" shrinkToFit="1"/>
      <protection locked="0"/>
    </xf>
    <xf numFmtId="0" fontId="9" fillId="0" borderId="6" xfId="1" quotePrefix="1" applyNumberFormat="1" applyFont="1" applyFill="1" applyBorder="1" applyAlignment="1">
      <alignment horizontal="left" vertical="center"/>
    </xf>
    <xf numFmtId="0" fontId="9" fillId="0" borderId="6" xfId="1" quotePrefix="1" applyFont="1" applyFill="1" applyBorder="1" applyAlignment="1">
      <alignment vertical="center"/>
    </xf>
    <xf numFmtId="0" fontId="7" fillId="0" borderId="0" xfId="1" applyFont="1" applyAlignment="1"/>
    <xf numFmtId="167" fontId="9" fillId="4" borderId="5" xfId="1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  <xf numFmtId="165" fontId="9" fillId="6" borderId="11" xfId="1" applyNumberFormat="1" applyFont="1" applyFill="1" applyBorder="1" applyAlignment="1" applyProtection="1">
      <alignment horizontal="left"/>
      <protection locked="0"/>
    </xf>
    <xf numFmtId="0" fontId="9" fillId="0" borderId="11" xfId="1" quotePrefix="1" applyNumberFormat="1" applyFont="1" applyFill="1" applyBorder="1" applyAlignment="1">
      <alignment horizontal="left" vertical="center"/>
    </xf>
    <xf numFmtId="0" fontId="9" fillId="0" borderId="11" xfId="1" quotePrefix="1" applyFont="1" applyFill="1" applyBorder="1" applyAlignment="1">
      <alignment vertical="center"/>
    </xf>
    <xf numFmtId="167" fontId="9" fillId="4" borderId="11" xfId="1" applyNumberFormat="1" applyFont="1" applyFill="1" applyBorder="1" applyAlignment="1" applyProtection="1">
      <alignment horizontal="left" vertical="center"/>
      <protection locked="0"/>
    </xf>
    <xf numFmtId="165" fontId="9" fillId="6" borderId="10" xfId="1" applyNumberFormat="1" applyFont="1" applyFill="1" applyBorder="1" applyAlignment="1" applyProtection="1">
      <alignment horizontal="left"/>
      <protection locked="0"/>
    </xf>
    <xf numFmtId="166" fontId="9" fillId="6" borderId="10" xfId="1" applyNumberFormat="1" applyFont="1" applyFill="1" applyBorder="1" applyAlignment="1" applyProtection="1">
      <alignment horizontal="right" vertical="center" indent="1" shrinkToFit="1"/>
      <protection locked="0"/>
    </xf>
    <xf numFmtId="0" fontId="9" fillId="0" borderId="10" xfId="1" quotePrefix="1" applyNumberFormat="1" applyFont="1" applyFill="1" applyBorder="1" applyAlignment="1">
      <alignment horizontal="left" vertical="center"/>
    </xf>
    <xf numFmtId="0" fontId="9" fillId="0" borderId="10" xfId="1" quotePrefix="1" applyFont="1" applyFill="1" applyBorder="1" applyAlignment="1">
      <alignment vertical="center"/>
    </xf>
    <xf numFmtId="167" fontId="9" fillId="4" borderId="10" xfId="1" applyNumberFormat="1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Alignment="1">
      <alignment vertical="center"/>
    </xf>
    <xf numFmtId="0" fontId="4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7" fillId="0" borderId="0" xfId="0" applyFont="1" applyAlignment="1">
      <alignment shrinkToFit="1"/>
    </xf>
    <xf numFmtId="0" fontId="9" fillId="5" borderId="5" xfId="0" applyFont="1" applyFill="1" applyBorder="1" applyAlignment="1" applyProtection="1">
      <alignment horizontal="left" shrinkToFit="1"/>
      <protection locked="0"/>
    </xf>
    <xf numFmtId="0" fontId="9" fillId="5" borderId="5" xfId="0" applyFont="1" applyFill="1" applyBorder="1" applyAlignment="1" applyProtection="1">
      <alignment horizontal="right" vertical="center"/>
    </xf>
    <xf numFmtId="0" fontId="9" fillId="5" borderId="11" xfId="0" applyFont="1" applyFill="1" applyBorder="1" applyAlignment="1" applyProtection="1">
      <alignment horizontal="left" shrinkToFit="1"/>
      <protection locked="0"/>
    </xf>
    <xf numFmtId="0" fontId="9" fillId="5" borderId="11" xfId="0" applyFont="1" applyFill="1" applyBorder="1" applyAlignment="1" applyProtection="1">
      <alignment horizontal="right" vertical="center"/>
    </xf>
    <xf numFmtId="0" fontId="9" fillId="5" borderId="10" xfId="0" applyFont="1" applyFill="1" applyBorder="1" applyAlignment="1" applyProtection="1">
      <alignment horizontal="left" shrinkToFit="1"/>
      <protection locked="0"/>
    </xf>
    <xf numFmtId="0" fontId="9" fillId="5" borderId="10" xfId="0" applyFont="1" applyFill="1" applyBorder="1" applyAlignment="1" applyProtection="1">
      <alignment horizontal="right" vertical="center"/>
    </xf>
    <xf numFmtId="0" fontId="0" fillId="0" borderId="0" xfId="0" applyFont="1" applyBorder="1" applyAlignment="1" applyProtection="1">
      <protection hidden="1"/>
    </xf>
    <xf numFmtId="0" fontId="0" fillId="0" borderId="0" xfId="0" applyFont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2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4" fillId="0" borderId="5" xfId="1" applyNumberFormat="1" applyFont="1" applyFill="1" applyBorder="1" applyAlignment="1" applyProtection="1">
      <alignment horizontal="right"/>
      <protection locked="0"/>
    </xf>
    <xf numFmtId="0" fontId="22" fillId="0" borderId="0" xfId="1" applyFont="1" applyAlignment="1" applyProtection="1">
      <alignment horizontal="left" vertical="center" indent="2"/>
      <protection hidden="1"/>
    </xf>
    <xf numFmtId="0" fontId="0" fillId="0" borderId="0" xfId="0" applyAlignment="1">
      <alignment vertical="center"/>
    </xf>
    <xf numFmtId="0" fontId="3" fillId="0" borderId="0" xfId="0" applyFont="1" applyAlignment="1" applyProtection="1">
      <alignment horizontal="left" vertical="center" indent="2"/>
      <protection hidden="1"/>
    </xf>
    <xf numFmtId="0" fontId="22" fillId="0" borderId="0" xfId="1" applyFont="1" applyAlignment="1" applyProtection="1">
      <alignment horizontal="left" vertical="center" indent="2"/>
      <protection locked="0"/>
    </xf>
    <xf numFmtId="0" fontId="23" fillId="0" borderId="0" xfId="1" applyFont="1" applyAlignment="1" applyProtection="1">
      <alignment horizontal="left" vertical="center" indent="2"/>
      <protection hidden="1"/>
    </xf>
    <xf numFmtId="168" fontId="4" fillId="0" borderId="0" xfId="0" applyNumberFormat="1" applyFont="1" applyAlignment="1" applyProtection="1">
      <alignment horizontal="right" vertical="center"/>
      <protection hidden="1"/>
    </xf>
    <xf numFmtId="0" fontId="7" fillId="0" borderId="20" xfId="0" applyFont="1" applyFill="1" applyBorder="1" applyAlignment="1" applyProtection="1">
      <alignment horizontal="left" vertical="center"/>
      <protection hidden="1"/>
    </xf>
    <xf numFmtId="0" fontId="4" fillId="0" borderId="0" xfId="1" applyFont="1" applyFill="1" applyAlignment="1" applyProtection="1">
      <alignment horizontal="right"/>
      <protection hidden="1"/>
    </xf>
    <xf numFmtId="0" fontId="9" fillId="0" borderId="0" xfId="1" applyFont="1" applyFill="1" applyAlignment="1" applyProtection="1">
      <alignment horizontal="right" vertical="center"/>
      <protection hidden="1"/>
    </xf>
    <xf numFmtId="0" fontId="1" fillId="0" borderId="0" xfId="0" applyFont="1" applyAlignment="1" applyProtection="1">
      <alignment vertical="center"/>
      <protection locked="0"/>
    </xf>
    <xf numFmtId="0" fontId="9" fillId="0" borderId="0" xfId="1" applyFont="1" applyFill="1" applyAlignment="1" applyProtection="1">
      <alignment horizontal="right"/>
      <protection hidden="1"/>
    </xf>
    <xf numFmtId="0" fontId="2" fillId="0" borderId="0" xfId="1" applyFont="1" applyFill="1" applyAlignment="1" applyProtection="1">
      <alignment horizontal="right"/>
      <protection hidden="1"/>
    </xf>
    <xf numFmtId="0" fontId="2" fillId="0" borderId="0" xfId="1" applyFont="1" applyAlignment="1" applyProtection="1">
      <protection hidden="1"/>
    </xf>
    <xf numFmtId="0" fontId="7" fillId="0" borderId="0" xfId="1" applyFont="1" applyAlignment="1" applyProtection="1">
      <alignment horizontal="right" shrinkToFit="1"/>
      <protection hidden="1"/>
    </xf>
    <xf numFmtId="0" fontId="17" fillId="0" borderId="21" xfId="1" applyFont="1" applyFill="1" applyBorder="1" applyAlignment="1" applyProtection="1">
      <alignment horizontal="left"/>
      <protection hidden="1"/>
    </xf>
    <xf numFmtId="167" fontId="9" fillId="0" borderId="5" xfId="1" applyNumberFormat="1" applyFont="1" applyFill="1" applyBorder="1" applyAlignment="1" applyProtection="1">
      <alignment horizontal="right"/>
      <protection hidden="1"/>
    </xf>
    <xf numFmtId="167" fontId="9" fillId="6" borderId="5" xfId="1" applyNumberFormat="1" applyFont="1" applyFill="1" applyBorder="1" applyAlignment="1" applyProtection="1">
      <alignment horizontal="right"/>
      <protection hidden="1"/>
    </xf>
    <xf numFmtId="0" fontId="9" fillId="6" borderId="5" xfId="1" applyFont="1" applyFill="1" applyBorder="1" applyAlignment="1" applyProtection="1">
      <protection hidden="1"/>
    </xf>
    <xf numFmtId="0" fontId="9" fillId="0" borderId="0" xfId="1" applyFont="1" applyBorder="1" applyAlignment="1" applyProtection="1">
      <protection hidden="1"/>
    </xf>
    <xf numFmtId="165" fontId="9" fillId="6" borderId="5" xfId="1" applyNumberFormat="1" applyFont="1" applyFill="1" applyBorder="1" applyAlignment="1" applyProtection="1">
      <alignment horizontal="right"/>
      <protection hidden="1"/>
    </xf>
    <xf numFmtId="0" fontId="1" fillId="0" borderId="0" xfId="0" applyFont="1" applyAlignment="1" applyProtection="1">
      <protection hidden="1"/>
    </xf>
    <xf numFmtId="169" fontId="9" fillId="3" borderId="5" xfId="1" applyNumberFormat="1" applyFont="1" applyFill="1" applyBorder="1" applyAlignment="1" applyProtection="1">
      <alignment horizontal="right"/>
      <protection hidden="1"/>
    </xf>
    <xf numFmtId="170" fontId="9" fillId="3" borderId="5" xfId="1" applyNumberFormat="1" applyFont="1" applyFill="1" applyBorder="1" applyAlignment="1" applyProtection="1">
      <alignment horizontal="right" shrinkToFit="1"/>
      <protection hidden="1"/>
    </xf>
    <xf numFmtId="171" fontId="9" fillId="3" borderId="5" xfId="1" applyNumberFormat="1" applyFont="1" applyFill="1" applyBorder="1" applyAlignment="1" applyProtection="1">
      <alignment horizontal="right"/>
      <protection hidden="1"/>
    </xf>
    <xf numFmtId="0" fontId="9" fillId="0" borderId="0" xfId="1" applyFont="1" applyFill="1" applyBorder="1" applyAlignment="1" applyProtection="1">
      <protection hidden="1"/>
    </xf>
    <xf numFmtId="0" fontId="17" fillId="0" borderId="10" xfId="1" applyFont="1" applyFill="1" applyBorder="1" applyAlignment="1" applyProtection="1">
      <alignment horizontal="left"/>
      <protection hidden="1"/>
    </xf>
    <xf numFmtId="167" fontId="9" fillId="0" borderId="22" xfId="1" applyNumberFormat="1" applyFont="1" applyFill="1" applyBorder="1" applyAlignment="1" applyProtection="1">
      <alignment horizontal="right"/>
      <protection hidden="1"/>
    </xf>
    <xf numFmtId="167" fontId="9" fillId="6" borderId="22" xfId="1" applyNumberFormat="1" applyFont="1" applyFill="1" applyBorder="1" applyAlignment="1" applyProtection="1">
      <alignment horizontal="right"/>
      <protection hidden="1"/>
    </xf>
    <xf numFmtId="0" fontId="9" fillId="6" borderId="22" xfId="1" applyFont="1" applyFill="1" applyBorder="1" applyAlignment="1" applyProtection="1">
      <protection hidden="1"/>
    </xf>
    <xf numFmtId="167" fontId="9" fillId="3" borderId="22" xfId="1" applyNumberFormat="1" applyFont="1" applyFill="1" applyBorder="1" applyAlignment="1" applyProtection="1">
      <alignment horizontal="right"/>
      <protection hidden="1"/>
    </xf>
    <xf numFmtId="167" fontId="9" fillId="3" borderId="22" xfId="1" quotePrefix="1" applyNumberFormat="1" applyFont="1" applyFill="1" applyBorder="1" applyAlignment="1" applyProtection="1">
      <alignment horizontal="right"/>
      <protection hidden="1"/>
    </xf>
    <xf numFmtId="0" fontId="17" fillId="0" borderId="5" xfId="1" applyFont="1" applyFill="1" applyBorder="1" applyAlignment="1" applyProtection="1">
      <alignment horizontal="left"/>
      <protection hidden="1"/>
    </xf>
    <xf numFmtId="0" fontId="9" fillId="0" borderId="5" xfId="1" applyNumberFormat="1" applyFont="1" applyFill="1" applyBorder="1" applyAlignment="1" applyProtection="1">
      <alignment horizontal="right" shrinkToFit="1"/>
      <protection locked="0"/>
    </xf>
    <xf numFmtId="0" fontId="9" fillId="6" borderId="5" xfId="1" applyNumberFormat="1" applyFont="1" applyFill="1" applyBorder="1" applyAlignment="1" applyProtection="1">
      <alignment horizontal="right" shrinkToFit="1"/>
      <protection locked="0"/>
    </xf>
    <xf numFmtId="0" fontId="17" fillId="0" borderId="5" xfId="1" applyFont="1" applyFill="1" applyBorder="1" applyAlignment="1" applyProtection="1">
      <alignment horizontal="left"/>
    </xf>
    <xf numFmtId="0" fontId="17" fillId="0" borderId="0" xfId="1" applyFont="1" applyFill="1" applyBorder="1" applyAlignment="1" applyProtection="1">
      <alignment horizontal="left"/>
      <protection hidden="1"/>
    </xf>
    <xf numFmtId="0" fontId="9" fillId="0" borderId="6" xfId="1" applyNumberFormat="1" applyFont="1" applyFill="1" applyBorder="1" applyAlignment="1" applyProtection="1">
      <alignment horizontal="right" shrinkToFit="1"/>
      <protection locked="0"/>
    </xf>
    <xf numFmtId="0" fontId="17" fillId="0" borderId="0" xfId="1" applyFont="1" applyFill="1" applyBorder="1" applyAlignment="1" applyProtection="1">
      <alignment horizontal="left"/>
    </xf>
    <xf numFmtId="0" fontId="9" fillId="0" borderId="10" xfId="1" applyNumberFormat="1" applyFont="1" applyFill="1" applyBorder="1" applyAlignment="1" applyProtection="1">
      <alignment horizontal="right" shrinkToFit="1"/>
      <protection locked="0"/>
    </xf>
    <xf numFmtId="0" fontId="1" fillId="2" borderId="0" xfId="0" applyFont="1" applyFill="1" applyAlignment="1" applyProtection="1">
      <protection locked="0"/>
    </xf>
    <xf numFmtId="0" fontId="15" fillId="2" borderId="1" xfId="1" applyFont="1" applyFill="1" applyBorder="1" applyAlignment="1" applyProtection="1">
      <alignment horizontal="left"/>
      <protection locked="0"/>
    </xf>
    <xf numFmtId="0" fontId="14" fillId="2" borderId="1" xfId="1" applyFont="1" applyFill="1" applyBorder="1" applyAlignment="1" applyProtection="1">
      <alignment horizontal="left"/>
      <protection locked="0"/>
    </xf>
    <xf numFmtId="0" fontId="15" fillId="2" borderId="1" xfId="1" applyNumberFormat="1" applyFont="1" applyFill="1" applyBorder="1" applyAlignment="1" applyProtection="1">
      <alignment horizontal="right"/>
      <protection locked="0"/>
    </xf>
    <xf numFmtId="0" fontId="18" fillId="2" borderId="2" xfId="1" applyFont="1" applyFill="1" applyBorder="1" applyAlignment="1" applyProtection="1">
      <alignment horizontal="left"/>
      <protection locked="0"/>
    </xf>
    <xf numFmtId="0" fontId="18" fillId="2" borderId="2" xfId="1" applyFont="1" applyFill="1" applyBorder="1" applyAlignment="1" applyProtection="1">
      <alignment horizontal="right"/>
      <protection locked="0"/>
    </xf>
    <xf numFmtId="0" fontId="18" fillId="2" borderId="13" xfId="1" applyFont="1" applyFill="1" applyBorder="1" applyAlignment="1" applyProtection="1">
      <protection locked="0"/>
    </xf>
    <xf numFmtId="0" fontId="18" fillId="2" borderId="13" xfId="1" applyFont="1" applyFill="1" applyBorder="1" applyAlignment="1" applyProtection="1">
      <alignment horizontal="right"/>
      <protection locked="0"/>
    </xf>
    <xf numFmtId="0" fontId="14" fillId="2" borderId="5" xfId="1" applyFont="1" applyFill="1" applyBorder="1" applyAlignment="1" applyProtection="1">
      <alignment horizontal="left"/>
      <protection locked="0"/>
    </xf>
    <xf numFmtId="0" fontId="18" fillId="2" borderId="5" xfId="1" applyFont="1" applyFill="1" applyBorder="1" applyAlignment="1" applyProtection="1">
      <alignment horizontal="right"/>
      <protection locked="0"/>
    </xf>
    <xf numFmtId="0" fontId="14" fillId="2" borderId="11" xfId="1" applyFont="1" applyFill="1" applyBorder="1" applyAlignment="1" applyProtection="1">
      <alignment horizontal="left"/>
      <protection locked="0"/>
    </xf>
    <xf numFmtId="172" fontId="18" fillId="2" borderId="11" xfId="1" applyNumberFormat="1" applyFont="1" applyFill="1" applyBorder="1" applyAlignment="1" applyProtection="1">
      <alignment horizontal="right"/>
      <protection locked="0"/>
    </xf>
    <xf numFmtId="0" fontId="18" fillId="2" borderId="11" xfId="1" applyFont="1" applyFill="1" applyBorder="1" applyAlignment="1" applyProtection="1">
      <alignment horizontal="right"/>
      <protection locked="0"/>
    </xf>
    <xf numFmtId="0" fontId="14" fillId="2" borderId="10" xfId="1" applyFont="1" applyFill="1" applyBorder="1" applyAlignment="1" applyProtection="1">
      <alignment horizontal="left"/>
      <protection locked="0"/>
    </xf>
    <xf numFmtId="0" fontId="18" fillId="2" borderId="0" xfId="0" applyFont="1" applyFill="1" applyAlignment="1" applyProtection="1"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4" borderId="6" xfId="1" applyNumberFormat="1" applyFont="1" applyFill="1" applyBorder="1" applyAlignment="1" applyProtection="1">
      <alignment horizontal="right" shrinkToFit="1"/>
      <protection locked="0"/>
    </xf>
    <xf numFmtId="0" fontId="9" fillId="0" borderId="18" xfId="1" applyNumberFormat="1" applyFont="1" applyFill="1" applyBorder="1" applyAlignment="1" applyProtection="1">
      <alignment horizontal="right" shrinkToFit="1"/>
      <protection locked="0"/>
    </xf>
    <xf numFmtId="0" fontId="17" fillId="0" borderId="18" xfId="1" applyFont="1" applyFill="1" applyBorder="1" applyAlignment="1" applyProtection="1">
      <alignment horizontal="left"/>
    </xf>
    <xf numFmtId="0" fontId="17" fillId="0" borderId="18" xfId="1" applyFont="1" applyFill="1" applyBorder="1" applyAlignment="1" applyProtection="1">
      <alignment horizontal="left"/>
      <protection hidden="1"/>
    </xf>
    <xf numFmtId="0" fontId="9" fillId="6" borderId="11" xfId="1" applyFont="1" applyFill="1" applyBorder="1" applyAlignment="1" applyProtection="1">
      <alignment horizontal="left"/>
      <protection locked="0"/>
    </xf>
    <xf numFmtId="0" fontId="9" fillId="6" borderId="10" xfId="1" applyFont="1" applyFill="1" applyBorder="1" applyAlignment="1" applyProtection="1">
      <alignment horizontal="left"/>
      <protection locked="0"/>
    </xf>
    <xf numFmtId="0" fontId="17" fillId="0" borderId="8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left"/>
    </xf>
    <xf numFmtId="9" fontId="9" fillId="6" borderId="11" xfId="1" applyNumberFormat="1" applyFont="1" applyFill="1" applyBorder="1" applyAlignment="1" applyProtection="1">
      <alignment horizontal="right" indent="1"/>
      <protection locked="0"/>
    </xf>
    <xf numFmtId="0" fontId="3" fillId="0" borderId="0" xfId="0" applyFont="1"/>
    <xf numFmtId="0" fontId="7" fillId="0" borderId="0" xfId="2" applyFont="1" applyFill="1" applyAlignment="1" applyProtection="1">
      <alignment horizontal="left" vertical="center"/>
      <protection hidden="1"/>
    </xf>
    <xf numFmtId="0" fontId="16" fillId="0" borderId="1" xfId="1" applyFont="1" applyFill="1" applyBorder="1" applyAlignment="1">
      <alignment horizontal="left"/>
    </xf>
    <xf numFmtId="0" fontId="17" fillId="0" borderId="2" xfId="1" applyFont="1" applyFill="1" applyBorder="1" applyAlignment="1">
      <alignment horizontal="left"/>
    </xf>
    <xf numFmtId="0" fontId="9" fillId="4" borderId="3" xfId="1" applyFont="1" applyFill="1" applyBorder="1" applyAlignment="1" applyProtection="1">
      <alignment horizontal="right" shrinkToFit="1"/>
      <protection locked="0" hidden="1"/>
    </xf>
    <xf numFmtId="0" fontId="9" fillId="5" borderId="4" xfId="1" applyFont="1" applyFill="1" applyBorder="1" applyAlignment="1" applyProtection="1">
      <alignment horizontal="left" shrinkToFit="1"/>
      <protection locked="0"/>
    </xf>
    <xf numFmtId="0" fontId="9" fillId="6" borderId="5" xfId="1" applyFont="1" applyFill="1" applyBorder="1" applyAlignment="1" applyProtection="1">
      <alignment horizontal="left"/>
      <protection locked="0"/>
    </xf>
    <xf numFmtId="0" fontId="17" fillId="0" borderId="7" xfId="1" applyFont="1" applyFill="1" applyBorder="1" applyAlignment="1">
      <alignment horizontal="left" vertical="center"/>
    </xf>
    <xf numFmtId="0" fontId="17" fillId="0" borderId="12" xfId="1" applyFont="1" applyFill="1" applyBorder="1" applyAlignment="1">
      <alignment horizontal="left" vertical="center"/>
    </xf>
    <xf numFmtId="0" fontId="17" fillId="0" borderId="8" xfId="1" applyFont="1" applyFill="1" applyBorder="1" applyAlignment="1">
      <alignment horizontal="left"/>
    </xf>
    <xf numFmtId="1" fontId="9" fillId="4" borderId="9" xfId="1" applyNumberFormat="1" applyFont="1" applyFill="1" applyBorder="1" applyAlignment="1" applyProtection="1">
      <alignment horizontal="right"/>
      <protection locked="0"/>
    </xf>
    <xf numFmtId="0" fontId="9" fillId="6" borderId="11" xfId="1" applyFont="1" applyFill="1" applyBorder="1" applyAlignment="1" applyProtection="1">
      <alignment horizontal="left"/>
      <protection locked="0"/>
    </xf>
    <xf numFmtId="0" fontId="9" fillId="4" borderId="14" xfId="1" applyFont="1" applyFill="1" applyBorder="1" applyAlignment="1" applyProtection="1">
      <alignment horizontal="right" shrinkToFit="1"/>
      <protection locked="0"/>
    </xf>
    <xf numFmtId="0" fontId="17" fillId="0" borderId="13" xfId="1" applyFont="1" applyFill="1" applyBorder="1" applyAlignment="1">
      <alignment horizontal="left"/>
    </xf>
    <xf numFmtId="0" fontId="9" fillId="4" borderId="15" xfId="1" applyFont="1" applyFill="1" applyBorder="1" applyAlignment="1" applyProtection="1">
      <alignment horizontal="right" shrinkToFit="1"/>
      <protection locked="0"/>
    </xf>
    <xf numFmtId="0" fontId="16" fillId="0" borderId="17" xfId="1" applyFont="1" applyFill="1" applyBorder="1" applyAlignment="1">
      <alignment horizontal="left" vertical="center"/>
    </xf>
    <xf numFmtId="0" fontId="16" fillId="0" borderId="18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center" wrapText="1"/>
    </xf>
    <xf numFmtId="0" fontId="16" fillId="0" borderId="3" xfId="1" applyFont="1" applyFill="1" applyBorder="1" applyAlignment="1">
      <alignment horizontal="center" wrapText="1"/>
    </xf>
    <xf numFmtId="0" fontId="17" fillId="0" borderId="8" xfId="1" applyFont="1" applyFill="1" applyBorder="1" applyAlignment="1">
      <alignment horizontal="left" vertical="center"/>
    </xf>
    <xf numFmtId="0" fontId="0" fillId="0" borderId="19" xfId="1" applyFont="1" applyFill="1" applyBorder="1" applyAlignment="1">
      <alignment horizontal="left"/>
    </xf>
    <xf numFmtId="0" fontId="17" fillId="0" borderId="13" xfId="1" applyFont="1" applyFill="1" applyBorder="1" applyAlignment="1">
      <alignment horizontal="left" vertical="center"/>
    </xf>
    <xf numFmtId="0" fontId="9" fillId="6" borderId="10" xfId="1" applyFont="1" applyFill="1" applyBorder="1" applyAlignment="1" applyProtection="1">
      <alignment horizontal="left"/>
      <protection locked="0"/>
    </xf>
    <xf numFmtId="0" fontId="21" fillId="0" borderId="20" xfId="0" applyFont="1" applyFill="1" applyBorder="1" applyAlignment="1" applyProtection="1">
      <alignment horizontal="left" vertical="center"/>
      <protection hidden="1"/>
    </xf>
    <xf numFmtId="0" fontId="18" fillId="2" borderId="23" xfId="1" applyFont="1" applyFill="1" applyBorder="1" applyAlignment="1" applyProtection="1">
      <alignment horizontal="left" vertical="center" wrapText="1"/>
      <protection locked="0"/>
    </xf>
    <xf numFmtId="0" fontId="18" fillId="2" borderId="12" xfId="1" applyFont="1" applyFill="1" applyBorder="1" applyAlignment="1" applyProtection="1">
      <alignment horizontal="left" vertical="center" wrapText="1"/>
      <protection locked="0"/>
    </xf>
    <xf numFmtId="0" fontId="7" fillId="7" borderId="20" xfId="2" applyFont="1" applyFill="1" applyBorder="1" applyAlignment="1" applyProtection="1">
      <alignment horizontal="left" vertical="center"/>
      <protection locked="0" hidden="1"/>
    </xf>
  </cellXfs>
  <cellStyles count="3">
    <cellStyle name="Hypertextový odkaz" xfId="2" builtinId="8"/>
    <cellStyle name="Normální" xfId="0" builtinId="0"/>
    <cellStyle name="normální 2" xfId="1"/>
  </cellStyles>
  <dxfs count="64">
    <dxf>
      <font>
        <color rgb="FFFFFF99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AFD7FF"/>
        </patternFill>
      </fill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FF99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AFD7FF"/>
        </patternFill>
      </fill>
    </dxf>
    <dxf>
      <font>
        <color auto="1"/>
      </font>
      <fill>
        <patternFill>
          <bgColor rgb="FFAFD7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T1 (°C)</c:v>
          </c:tx>
          <c:marker>
            <c:symbol val="none"/>
          </c:marker>
          <c:xVal>
            <c:numRef>
              <c:f>'Model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'Model Report'!$D$11:$D$610</c:f>
              <c:numCache>
                <c:formatCode>General</c:formatCode>
                <c:ptCount val="6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1C-403C-9F6F-69B129C81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75904"/>
        <c:axId val="379375072"/>
      </c:scatterChart>
      <c:valAx>
        <c:axId val="37937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072"/>
        <c:crosses val="autoZero"/>
        <c:crossBetween val="midCat"/>
      </c:valAx>
      <c:valAx>
        <c:axId val="379375072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90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T2 (°C)</c:v>
          </c:tx>
          <c:marker>
            <c:symbol val="none"/>
          </c:marker>
          <c:xVal>
            <c:numRef>
              <c:f>'Model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'Model Report'!$E$11:$E$610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40.844124671602572</c:v>
                </c:pt>
                <c:pt idx="52">
                  <c:v>40.893624671602574</c:v>
                </c:pt>
                <c:pt idx="53">
                  <c:v>40.942629671602575</c:v>
                </c:pt>
                <c:pt idx="54">
                  <c:v>40.991144621602572</c:v>
                </c:pt>
                <c:pt idx="55">
                  <c:v>41.039174422102569</c:v>
                </c:pt>
                <c:pt idx="56">
                  <c:v>41.086723924597571</c:v>
                </c:pt>
                <c:pt idx="57">
                  <c:v>41.133797932067623</c:v>
                </c:pt>
                <c:pt idx="58">
                  <c:v>41.18040119946297</c:v>
                </c:pt>
                <c:pt idx="59">
                  <c:v>41.226538434184363</c:v>
                </c:pt>
                <c:pt idx="60">
                  <c:v>41.272214296558545</c:v>
                </c:pt>
                <c:pt idx="61">
                  <c:v>41.317433400308985</c:v>
                </c:pt>
                <c:pt idx="62">
                  <c:v>41.362200313021923</c:v>
                </c:pt>
                <c:pt idx="63">
                  <c:v>41.406519556607726</c:v>
                </c:pt>
                <c:pt idx="64">
                  <c:v>41.450395607757677</c:v>
                </c:pt>
                <c:pt idx="65">
                  <c:v>41.493832898396128</c:v>
                </c:pt>
                <c:pt idx="66">
                  <c:v>41.536835816128196</c:v>
                </c:pt>
                <c:pt idx="67">
                  <c:v>41.57940870468294</c:v>
                </c:pt>
                <c:pt idx="68">
                  <c:v>41.621555864352139</c:v>
                </c:pt>
                <c:pt idx="69">
                  <c:v>41.663281552424642</c:v>
                </c:pt>
                <c:pt idx="70">
                  <c:v>41.704589983616422</c:v>
                </c:pt>
                <c:pt idx="71">
                  <c:v>41.745485330496287</c:v>
                </c:pt>
                <c:pt idx="72">
                  <c:v>41.785971723907352</c:v>
                </c:pt>
                <c:pt idx="73">
                  <c:v>41.826053253384302</c:v>
                </c:pt>
                <c:pt idx="74">
                  <c:v>41.865733967566484</c:v>
                </c:pt>
                <c:pt idx="75">
                  <c:v>41.905017874606848</c:v>
                </c:pt>
                <c:pt idx="76">
                  <c:v>41.943908942576805</c:v>
                </c:pt>
                <c:pt idx="77">
                  <c:v>41.982411099867065</c:v>
                </c:pt>
                <c:pt idx="78">
                  <c:v>42.020528235584422</c:v>
                </c:pt>
                <c:pt idx="79">
                  <c:v>42.058264199944603</c:v>
                </c:pt>
                <c:pt idx="80">
                  <c:v>42.095622804661183</c:v>
                </c:pt>
                <c:pt idx="81">
                  <c:v>42.132607823330595</c:v>
                </c:pt>
                <c:pt idx="82">
                  <c:v>42.169222991813314</c:v>
                </c:pt>
                <c:pt idx="83">
                  <c:v>42.205472008611203</c:v>
                </c:pt>
                <c:pt idx="84">
                  <c:v>42.241358535241119</c:v>
                </c:pt>
                <c:pt idx="85">
                  <c:v>42.276886196604735</c:v>
                </c:pt>
                <c:pt idx="86">
                  <c:v>42.312058581354712</c:v>
                </c:pt>
                <c:pt idx="87">
                  <c:v>42.346879242257188</c:v>
                </c:pt>
                <c:pt idx="88">
                  <c:v>42.381351696550645</c:v>
                </c:pt>
                <c:pt idx="89">
                  <c:v>42.415479426301161</c:v>
                </c:pt>
                <c:pt idx="90">
                  <c:v>42.449265878754176</c:v>
                </c:pt>
                <c:pt idx="91">
                  <c:v>42.482714466682658</c:v>
                </c:pt>
                <c:pt idx="92">
                  <c:v>42.515828568731855</c:v>
                </c:pt>
                <c:pt idx="93">
                  <c:v>42.548611529760564</c:v>
                </c:pt>
                <c:pt idx="94">
                  <c:v>42.581066661178987</c:v>
                </c:pt>
                <c:pt idx="95">
                  <c:v>42.613197241283224</c:v>
                </c:pt>
                <c:pt idx="96">
                  <c:v>42.645006515586417</c:v>
                </c:pt>
                <c:pt idx="97">
                  <c:v>42.67649769714658</c:v>
                </c:pt>
                <c:pt idx="98">
                  <c:v>42.707673966891143</c:v>
                </c:pt>
                <c:pt idx="99">
                  <c:v>42.738538473938256</c:v>
                </c:pt>
                <c:pt idx="100">
                  <c:v>42.7690943359149</c:v>
                </c:pt>
                <c:pt idx="101">
                  <c:v>42.79934463927178</c:v>
                </c:pt>
                <c:pt idx="102">
                  <c:v>42.829292439595086</c:v>
                </c:pt>
                <c:pt idx="103">
                  <c:v>42.858940761915164</c:v>
                </c:pt>
                <c:pt idx="104">
                  <c:v>42.88829260101204</c:v>
                </c:pt>
                <c:pt idx="105">
                  <c:v>42.917350921717947</c:v>
                </c:pt>
                <c:pt idx="106">
                  <c:v>42.946118659216793</c:v>
                </c:pt>
                <c:pt idx="107">
                  <c:v>42.974598719340648</c:v>
                </c:pt>
                <c:pt idx="108">
                  <c:v>43.002793978863266</c:v>
                </c:pt>
                <c:pt idx="109">
                  <c:v>43.030707285790662</c:v>
                </c:pt>
                <c:pt idx="110">
                  <c:v>43.05834145964878</c:v>
                </c:pt>
                <c:pt idx="111">
                  <c:v>43.085699291768314</c:v>
                </c:pt>
                <c:pt idx="112">
                  <c:v>43.112783545566657</c:v>
                </c:pt>
                <c:pt idx="113">
                  <c:v>43.139596956827013</c:v>
                </c:pt>
                <c:pt idx="114">
                  <c:v>43.166142233974767</c:v>
                </c:pt>
                <c:pt idx="115">
                  <c:v>43.192422058351042</c:v>
                </c:pt>
                <c:pt idx="116">
                  <c:v>43.218439084483556</c:v>
                </c:pt>
                <c:pt idx="117">
                  <c:v>43.244195940354743</c:v>
                </c:pt>
                <c:pt idx="118">
                  <c:v>43.269695227667221</c:v>
                </c:pt>
                <c:pt idx="119">
                  <c:v>43.294939522106574</c:v>
                </c:pt>
                <c:pt idx="120">
                  <c:v>43.319931373601534</c:v>
                </c:pt>
                <c:pt idx="121">
                  <c:v>43.344673306581548</c:v>
                </c:pt>
                <c:pt idx="122">
                  <c:v>43.369167820231759</c:v>
                </c:pt>
                <c:pt idx="123">
                  <c:v>43.393417388745469</c:v>
                </c:pt>
                <c:pt idx="124">
                  <c:v>43.417424461574043</c:v>
                </c:pt>
                <c:pt idx="125">
                  <c:v>43.441191463674329</c:v>
                </c:pt>
                <c:pt idx="126">
                  <c:v>43.464720795753614</c:v>
                </c:pt>
                <c:pt idx="127">
                  <c:v>43.4880148345121</c:v>
                </c:pt>
                <c:pt idx="128">
                  <c:v>43.511075932883003</c:v>
                </c:pt>
                <c:pt idx="129">
                  <c:v>43.533906420270199</c:v>
                </c:pt>
                <c:pt idx="130">
                  <c:v>43.556508602783524</c:v>
                </c:pt>
                <c:pt idx="131">
                  <c:v>43.578884763471713</c:v>
                </c:pt>
                <c:pt idx="132">
                  <c:v>43.60103716255302</c:v>
                </c:pt>
                <c:pt idx="133">
                  <c:v>43.622968037643517</c:v>
                </c:pt>
                <c:pt idx="134">
                  <c:v>43.644679603983107</c:v>
                </c:pt>
                <c:pt idx="135">
                  <c:v>43.666174054659301</c:v>
                </c:pt>
                <c:pt idx="136">
                  <c:v>43.687453560828736</c:v>
                </c:pt>
                <c:pt idx="137">
                  <c:v>43.708520271936472</c:v>
                </c:pt>
                <c:pt idx="138">
                  <c:v>43.729376315933131</c:v>
                </c:pt>
                <c:pt idx="139">
                  <c:v>43.750023799489824</c:v>
                </c:pt>
                <c:pt idx="140">
                  <c:v>43.770464808210953</c:v>
                </c:pt>
                <c:pt idx="141">
                  <c:v>43.790701406844867</c:v>
                </c:pt>
                <c:pt idx="142">
                  <c:v>43.810735639492442</c:v>
                </c:pt>
                <c:pt idx="143">
                  <c:v>43.830569529813545</c:v>
                </c:pt>
                <c:pt idx="144">
                  <c:v>43.850205081231437</c:v>
                </c:pt>
                <c:pt idx="145">
                  <c:v>43.869644277135151</c:v>
                </c:pt>
                <c:pt idx="146">
                  <c:v>43.888889081079824</c:v>
                </c:pt>
                <c:pt idx="147">
                  <c:v>43.907941436985055</c:v>
                </c:pt>
                <c:pt idx="148">
                  <c:v>43.926803269331231</c:v>
                </c:pt>
                <c:pt idx="149">
                  <c:v>43.945476483353943</c:v>
                </c:pt>
                <c:pt idx="150">
                  <c:v>43.963962965236426</c:v>
                </c:pt>
                <c:pt idx="151">
                  <c:v>43.98226458230009</c:v>
                </c:pt>
                <c:pt idx="152">
                  <c:v>44.000383183193115</c:v>
                </c:pt>
                <c:pt idx="153">
                  <c:v>44.01832059807721</c:v>
                </c:pt>
                <c:pt idx="154">
                  <c:v>44.036078638812462</c:v>
                </c:pt>
                <c:pt idx="155">
                  <c:v>44.053659099140361</c:v>
                </c:pt>
                <c:pt idx="156">
                  <c:v>44.07106375486498</c:v>
                </c:pt>
                <c:pt idx="157">
                  <c:v>44.088294364032357</c:v>
                </c:pt>
                <c:pt idx="158">
                  <c:v>44.105352667108058</c:v>
                </c:pt>
                <c:pt idx="159">
                  <c:v>44.122240387153006</c:v>
                </c:pt>
                <c:pt idx="160">
                  <c:v>44.138959229997504</c:v>
                </c:pt>
                <c:pt idx="161">
                  <c:v>44.155510884413552</c:v>
                </c:pt>
                <c:pt idx="162">
                  <c:v>44.171897022285442</c:v>
                </c:pt>
                <c:pt idx="163">
                  <c:v>44.188119298778616</c:v>
                </c:pt>
                <c:pt idx="164">
                  <c:v>44.204179352506856</c:v>
                </c:pt>
                <c:pt idx="165">
                  <c:v>44.22007880569781</c:v>
                </c:pt>
                <c:pt idx="166">
                  <c:v>44.235819264356856</c:v>
                </c:pt>
                <c:pt idx="167">
                  <c:v>44.251402318429314</c:v>
                </c:pt>
                <c:pt idx="168">
                  <c:v>44.266829541961044</c:v>
                </c:pt>
                <c:pt idx="169">
                  <c:v>44.282102493257462</c:v>
                </c:pt>
                <c:pt idx="170">
                  <c:v>44.29722271504091</c:v>
                </c:pt>
                <c:pt idx="171">
                  <c:v>44.312191734606529</c:v>
                </c:pt>
                <c:pt idx="172">
                  <c:v>44.327011063976492</c:v>
                </c:pt>
                <c:pt idx="173">
                  <c:v>44.341682200052752</c:v>
                </c:pt>
                <c:pt idx="174">
                  <c:v>44.356206624768248</c:v>
                </c:pt>
                <c:pt idx="175">
                  <c:v>44.370585805236594</c:v>
                </c:pt>
                <c:pt idx="176">
                  <c:v>44.384821193900251</c:v>
                </c:pt>
                <c:pt idx="177">
                  <c:v>44.398914228677278</c:v>
                </c:pt>
                <c:pt idx="178">
                  <c:v>44.412866333106528</c:v>
                </c:pt>
                <c:pt idx="179">
                  <c:v>44.42667891649149</c:v>
                </c:pt>
                <c:pt idx="180">
                  <c:v>44.440353374042601</c:v>
                </c:pt>
                <c:pt idx="181">
                  <c:v>44.453891087018199</c:v>
                </c:pt>
                <c:pt idx="182">
                  <c:v>44.467293422864046</c:v>
                </c:pt>
                <c:pt idx="183">
                  <c:v>44.480561735351429</c:v>
                </c:pt>
                <c:pt idx="184">
                  <c:v>44.493697364713938</c:v>
                </c:pt>
                <c:pt idx="185">
                  <c:v>44.506701637782825</c:v>
                </c:pt>
                <c:pt idx="186">
                  <c:v>44.519575868121024</c:v>
                </c:pt>
                <c:pt idx="187">
                  <c:v>44.53232135615584</c:v>
                </c:pt>
                <c:pt idx="188">
                  <c:v>44.544939389310308</c:v>
                </c:pt>
                <c:pt idx="189">
                  <c:v>44.557431242133234</c:v>
                </c:pt>
                <c:pt idx="190">
                  <c:v>44.569798176427931</c:v>
                </c:pt>
                <c:pt idx="191">
                  <c:v>44.58204144137968</c:v>
                </c:pt>
                <c:pt idx="192">
                  <c:v>44.59416227368191</c:v>
                </c:pt>
                <c:pt idx="193">
                  <c:v>44.606161897661117</c:v>
                </c:pt>
                <c:pt idx="194">
                  <c:v>44.618041525400535</c:v>
                </c:pt>
                <c:pt idx="195">
                  <c:v>44.629802356862555</c:v>
                </c:pt>
                <c:pt idx="196">
                  <c:v>44.641445580009957</c:v>
                </c:pt>
                <c:pt idx="197">
                  <c:v>44.65297237092588</c:v>
                </c:pt>
                <c:pt idx="198">
                  <c:v>44.664383893932644</c:v>
                </c:pt>
                <c:pt idx="199">
                  <c:v>44.675681301709346</c:v>
                </c:pt>
                <c:pt idx="200">
                  <c:v>44.686865735408276</c:v>
                </c:pt>
                <c:pt idx="201">
                  <c:v>44.69793832477022</c:v>
                </c:pt>
                <c:pt idx="202">
                  <c:v>44.708900188238545</c:v>
                </c:pt>
                <c:pt idx="203">
                  <c:v>44.719752433072188</c:v>
                </c:pt>
                <c:pt idx="204">
                  <c:v>44.730496155457494</c:v>
                </c:pt>
                <c:pt idx="205">
                  <c:v>44.741132440618948</c:v>
                </c:pt>
                <c:pt idx="206">
                  <c:v>44.751662362928784</c:v>
                </c:pt>
                <c:pt idx="207">
                  <c:v>44.762086986015518</c:v>
                </c:pt>
                <c:pt idx="208">
                  <c:v>44.772407362871391</c:v>
                </c:pt>
                <c:pt idx="209">
                  <c:v>44.782624535958703</c:v>
                </c:pt>
                <c:pt idx="210">
                  <c:v>44.792739537315143</c:v>
                </c:pt>
                <c:pt idx="211">
                  <c:v>44.802753388658019</c:v>
                </c:pt>
                <c:pt idx="212">
                  <c:v>44.812667101487463</c:v>
                </c:pt>
                <c:pt idx="213">
                  <c:v>44.822481677188613</c:v>
                </c:pt>
                <c:pt idx="214">
                  <c:v>44.832198107132754</c:v>
                </c:pt>
                <c:pt idx="215">
                  <c:v>44.841817372777456</c:v>
                </c:pt>
                <c:pt idx="216">
                  <c:v>44.851340445765707</c:v>
                </c:pt>
                <c:pt idx="217">
                  <c:v>44.860768288024076</c:v>
                </c:pt>
                <c:pt idx="218">
                  <c:v>44.870101851859864</c:v>
                </c:pt>
                <c:pt idx="219">
                  <c:v>44.879342080057292</c:v>
                </c:pt>
                <c:pt idx="220">
                  <c:v>44.888489905972747</c:v>
                </c:pt>
                <c:pt idx="221">
                  <c:v>44.897546253629045</c:v>
                </c:pt>
                <c:pt idx="222">
                  <c:v>44.906512037808781</c:v>
                </c:pt>
                <c:pt idx="223">
                  <c:v>44.915388164146719</c:v>
                </c:pt>
                <c:pt idx="224">
                  <c:v>44.92417552922128</c:v>
                </c:pt>
                <c:pt idx="225">
                  <c:v>44.932875020645092</c:v>
                </c:pt>
                <c:pt idx="226">
                  <c:v>44.94148751715467</c:v>
                </c:pt>
                <c:pt idx="227">
                  <c:v>44.950013888699146</c:v>
                </c:pt>
                <c:pt idx="228">
                  <c:v>44.958454996528182</c:v>
                </c:pt>
                <c:pt idx="229">
                  <c:v>44.966811693278927</c:v>
                </c:pt>
                <c:pt idx="230">
                  <c:v>44.975084823062161</c:v>
                </c:pt>
                <c:pt idx="231">
                  <c:v>44.983275221547565</c:v>
                </c:pt>
                <c:pt idx="232">
                  <c:v>44.991383716048112</c:v>
                </c:pt>
                <c:pt idx="233">
                  <c:v>44.999411125603658</c:v>
                </c:pt>
                <c:pt idx="234">
                  <c:v>45.007358261063644</c:v>
                </c:pt>
                <c:pt idx="235">
                  <c:v>45.015225925169034</c:v>
                </c:pt>
                <c:pt idx="236">
                  <c:v>45.023014912633371</c:v>
                </c:pt>
                <c:pt idx="237">
                  <c:v>45.030726010223063</c:v>
                </c:pt>
                <c:pt idx="238">
                  <c:v>45.03835999683686</c:v>
                </c:pt>
                <c:pt idx="239">
                  <c:v>45.045917643584517</c:v>
                </c:pt>
                <c:pt idx="240">
                  <c:v>45.0533997138647</c:v>
                </c:pt>
                <c:pt idx="241">
                  <c:v>45.060806963442076</c:v>
                </c:pt>
                <c:pt idx="242">
                  <c:v>45.068140140523681</c:v>
                </c:pt>
                <c:pt idx="243">
                  <c:v>45.075399985834473</c:v>
                </c:pt>
                <c:pt idx="244">
                  <c:v>45.082587232692156</c:v>
                </c:pt>
                <c:pt idx="245">
                  <c:v>45.089702607081257</c:v>
                </c:pt>
                <c:pt idx="246">
                  <c:v>45.09674682772647</c:v>
                </c:pt>
                <c:pt idx="247">
                  <c:v>45.103720606165233</c:v>
                </c:pt>
                <c:pt idx="248">
                  <c:v>45.110624646819609</c:v>
                </c:pt>
                <c:pt idx="249">
                  <c:v>45.117459647067442</c:v>
                </c:pt>
                <c:pt idx="250">
                  <c:v>45.124226297312795</c:v>
                </c:pt>
                <c:pt idx="251">
                  <c:v>45.130925281055696</c:v>
                </c:pt>
                <c:pt idx="252">
                  <c:v>45.137557274961168</c:v>
                </c:pt>
                <c:pt idx="253">
                  <c:v>45.144122948927581</c:v>
                </c:pt>
                <c:pt idx="254">
                  <c:v>45.15062296615433</c:v>
                </c:pt>
                <c:pt idx="255">
                  <c:v>45.157057983208816</c:v>
                </c:pt>
                <c:pt idx="256">
                  <c:v>45.163428650092754</c:v>
                </c:pt>
                <c:pt idx="257">
                  <c:v>45.169735610307853</c:v>
                </c:pt>
                <c:pt idx="258">
                  <c:v>45.175979500920803</c:v>
                </c:pt>
                <c:pt idx="259">
                  <c:v>45.182160952627619</c:v>
                </c:pt>
                <c:pt idx="260">
                  <c:v>45.188280589817367</c:v>
                </c:pt>
                <c:pt idx="261">
                  <c:v>45.19433903063522</c:v>
                </c:pt>
                <c:pt idx="262">
                  <c:v>45.200336887044891</c:v>
                </c:pt>
                <c:pt idx="263">
                  <c:v>45.206274764890466</c:v>
                </c:pt>
                <c:pt idx="264">
                  <c:v>45.212153263957589</c:v>
                </c:pt>
                <c:pt idx="265">
                  <c:v>45.217972978034041</c:v>
                </c:pt>
                <c:pt idx="266">
                  <c:v>45.223734494969726</c:v>
                </c:pt>
                <c:pt idx="267">
                  <c:v>45.229438396736057</c:v>
                </c:pt>
                <c:pt idx="268">
                  <c:v>45.23508525948472</c:v>
                </c:pt>
                <c:pt idx="269">
                  <c:v>45.240675653605898</c:v>
                </c:pt>
                <c:pt idx="270">
                  <c:v>45.246210143785866</c:v>
                </c:pt>
                <c:pt idx="271">
                  <c:v>45.251689289064032</c:v>
                </c:pt>
                <c:pt idx="272">
                  <c:v>45.257113642889415</c:v>
                </c:pt>
                <c:pt idx="273">
                  <c:v>45.262483753176546</c:v>
                </c:pt>
                <c:pt idx="274">
                  <c:v>45.267800162360807</c:v>
                </c:pt>
                <c:pt idx="275">
                  <c:v>45.273063407453222</c:v>
                </c:pt>
                <c:pt idx="276">
                  <c:v>45.278274020094713</c:v>
                </c:pt>
                <c:pt idx="277">
                  <c:v>45.283432526609793</c:v>
                </c:pt>
                <c:pt idx="278">
                  <c:v>45.288539448059723</c:v>
                </c:pt>
                <c:pt idx="279">
                  <c:v>45.293595300295152</c:v>
                </c:pt>
                <c:pt idx="280">
                  <c:v>45.298600594008228</c:v>
                </c:pt>
                <c:pt idx="281">
                  <c:v>45.30355583478417</c:v>
                </c:pt>
                <c:pt idx="282">
                  <c:v>45.308461523152353</c:v>
                </c:pt>
                <c:pt idx="283">
                  <c:v>45.313318154636853</c:v>
                </c:pt>
                <c:pt idx="284">
                  <c:v>45.318126219806508</c:v>
                </c:pt>
                <c:pt idx="285">
                  <c:v>45.322886204324469</c:v>
                </c:pt>
                <c:pt idx="286">
                  <c:v>45.327598588997247</c:v>
                </c:pt>
                <c:pt idx="287">
                  <c:v>45.332263849823299</c:v>
                </c:pt>
                <c:pt idx="288">
                  <c:v>45.336882458041089</c:v>
                </c:pt>
                <c:pt idx="289">
                  <c:v>45.341454880176705</c:v>
                </c:pt>
                <c:pt idx="290">
                  <c:v>45.345981578090964</c:v>
                </c:pt>
                <c:pt idx="291">
                  <c:v>45.350463009026079</c:v>
                </c:pt>
                <c:pt idx="292">
                  <c:v>45.354899625651846</c:v>
                </c:pt>
                <c:pt idx="293">
                  <c:v>45.359291876111357</c:v>
                </c:pt>
                <c:pt idx="294">
                  <c:v>45.363640204066272</c:v>
                </c:pt>
                <c:pt idx="295">
                  <c:v>45.367945048741632</c:v>
                </c:pt>
                <c:pt idx="296">
                  <c:v>45.372206844970243</c:v>
                </c:pt>
                <c:pt idx="297">
                  <c:v>45.376426023236569</c:v>
                </c:pt>
                <c:pt idx="298">
                  <c:v>45.380603009720225</c:v>
                </c:pt>
                <c:pt idx="299">
                  <c:v>45.384738226339046</c:v>
                </c:pt>
                <c:pt idx="300">
                  <c:v>45.388832090791681</c:v>
                </c:pt>
                <c:pt idx="301">
                  <c:v>45.392885016599791</c:v>
                </c:pt>
                <c:pt idx="302">
                  <c:v>45.396897413149823</c:v>
                </c:pt>
                <c:pt idx="303">
                  <c:v>45.400869685734349</c:v>
                </c:pt>
                <c:pt idx="304">
                  <c:v>45.404802235593031</c:v>
                </c:pt>
                <c:pt idx="305">
                  <c:v>45.40869545995313</c:v>
                </c:pt>
                <c:pt idx="306">
                  <c:v>45.412549752069623</c:v>
                </c:pt>
                <c:pt idx="307">
                  <c:v>45.416365501264956</c:v>
                </c:pt>
                <c:pt idx="308">
                  <c:v>45.420143092968331</c:v>
                </c:pt>
                <c:pt idx="309">
                  <c:v>45.42388290875467</c:v>
                </c:pt>
                <c:pt idx="310">
                  <c:v>45.427585326383152</c:v>
                </c:pt>
                <c:pt idx="311">
                  <c:v>45.431250719835347</c:v>
                </c:pt>
                <c:pt idx="312">
                  <c:v>45.43487945935302</c:v>
                </c:pt>
                <c:pt idx="313">
                  <c:v>45.438471911475517</c:v>
                </c:pt>
                <c:pt idx="314">
                  <c:v>45.442028439076786</c:v>
                </c:pt>
                <c:pt idx="315">
                  <c:v>45.445549401402047</c:v>
                </c:pt>
                <c:pt idx="316">
                  <c:v>45.449035154104052</c:v>
                </c:pt>
                <c:pt idx="317">
                  <c:v>45.452486049279038</c:v>
                </c:pt>
                <c:pt idx="318">
                  <c:v>45.455902435502274</c:v>
                </c:pt>
                <c:pt idx="319">
                  <c:v>45.459284657863279</c:v>
                </c:pt>
                <c:pt idx="320">
                  <c:v>45.462633058000669</c:v>
                </c:pt>
                <c:pt idx="321">
                  <c:v>45.465947974136689</c:v>
                </c:pt>
                <c:pt idx="322">
                  <c:v>45.469229741111349</c:v>
                </c:pt>
                <c:pt idx="323">
                  <c:v>45.47247869041626</c:v>
                </c:pt>
                <c:pt idx="324">
                  <c:v>45.47569515022812</c:v>
                </c:pt>
                <c:pt idx="325">
                  <c:v>45.478879445441862</c:v>
                </c:pt>
                <c:pt idx="326">
                  <c:v>45.482031897703472</c:v>
                </c:pt>
                <c:pt idx="327">
                  <c:v>45.485152825442462</c:v>
                </c:pt>
                <c:pt idx="328">
                  <c:v>45.488242543904065</c:v>
                </c:pt>
                <c:pt idx="329">
                  <c:v>45.491301365181052</c:v>
                </c:pt>
                <c:pt idx="330">
                  <c:v>45.494329598245265</c:v>
                </c:pt>
                <c:pt idx="331">
                  <c:v>45.497327548978838</c:v>
                </c:pt>
                <c:pt idx="332">
                  <c:v>45.500295520205079</c:v>
                </c:pt>
                <c:pt idx="333">
                  <c:v>45.503233811719056</c:v>
                </c:pt>
                <c:pt idx="334">
                  <c:v>45.506142720317889</c:v>
                </c:pt>
                <c:pt idx="335">
                  <c:v>45.509022539830738</c:v>
                </c:pt>
                <c:pt idx="336">
                  <c:v>45.511873561148455</c:v>
                </c:pt>
                <c:pt idx="337">
                  <c:v>45.514696072252995</c:v>
                </c:pt>
                <c:pt idx="338">
                  <c:v>45.517490358246491</c:v>
                </c:pt>
                <c:pt idx="339">
                  <c:v>45.520256701380049</c:v>
                </c:pt>
                <c:pt idx="340">
                  <c:v>45.522995381082275</c:v>
                </c:pt>
                <c:pt idx="341">
                  <c:v>45.525706673987479</c:v>
                </c:pt>
                <c:pt idx="342">
                  <c:v>45.528390853963629</c:v>
                </c:pt>
                <c:pt idx="343">
                  <c:v>45.53104819214002</c:v>
                </c:pt>
                <c:pt idx="344">
                  <c:v>45.533678956934644</c:v>
                </c:pt>
                <c:pt idx="345">
                  <c:v>45.536283414081325</c:v>
                </c:pt>
                <c:pt idx="346">
                  <c:v>45.538861826656536</c:v>
                </c:pt>
                <c:pt idx="347">
                  <c:v>45.541414455105993</c:v>
                </c:pt>
                <c:pt idx="348">
                  <c:v>45.543941557270962</c:v>
                </c:pt>
                <c:pt idx="349">
                  <c:v>45.546443388414275</c:v>
                </c:pt>
                <c:pt idx="350">
                  <c:v>45.548920201246155</c:v>
                </c:pt>
                <c:pt idx="351">
                  <c:v>45.551372245949722</c:v>
                </c:pt>
                <c:pt idx="352">
                  <c:v>45.553799770206247</c:v>
                </c:pt>
                <c:pt idx="353">
                  <c:v>45.556203019220213</c:v>
                </c:pt>
                <c:pt idx="354">
                  <c:v>45.558582235744034</c:v>
                </c:pt>
                <c:pt idx="355">
                  <c:v>45.560937660102617</c:v>
                </c:pt>
                <c:pt idx="356">
                  <c:v>45.563269530217617</c:v>
                </c:pt>
                <c:pt idx="357">
                  <c:v>45.565578081631465</c:v>
                </c:pt>
                <c:pt idx="358">
                  <c:v>45.567863547531175</c:v>
                </c:pt>
                <c:pt idx="359">
                  <c:v>45.570126158771892</c:v>
                </c:pt>
                <c:pt idx="360">
                  <c:v>45.572366143900197</c:v>
                </c:pt>
                <c:pt idx="361">
                  <c:v>45.57458372917722</c:v>
                </c:pt>
                <c:pt idx="362">
                  <c:v>45.576779138601474</c:v>
                </c:pt>
                <c:pt idx="363">
                  <c:v>45.578952593931483</c:v>
                </c:pt>
                <c:pt idx="364">
                  <c:v>45.581104314708192</c:v>
                </c:pt>
                <c:pt idx="365">
                  <c:v>45.583234518277138</c:v>
                </c:pt>
                <c:pt idx="366">
                  <c:v>45.585343419810393</c:v>
                </c:pt>
                <c:pt idx="367">
                  <c:v>45.587431232328314</c:v>
                </c:pt>
                <c:pt idx="368">
                  <c:v>45.589498166721057</c:v>
                </c:pt>
                <c:pt idx="369">
                  <c:v>45.591544431769876</c:v>
                </c:pt>
                <c:pt idx="370">
                  <c:v>45.593570234168205</c:v>
                </c:pt>
                <c:pt idx="371">
                  <c:v>45.595575778542546</c:v>
                </c:pt>
                <c:pt idx="372">
                  <c:v>45.597561267473147</c:v>
                </c:pt>
                <c:pt idx="373">
                  <c:v>45.599526901514437</c:v>
                </c:pt>
                <c:pt idx="374">
                  <c:v>45.601472879215322</c:v>
                </c:pt>
                <c:pt idx="375">
                  <c:v>45.603399397139192</c:v>
                </c:pt>
                <c:pt idx="376">
                  <c:v>45.605306649883829</c:v>
                </c:pt>
                <c:pt idx="377">
                  <c:v>45.607194830101015</c:v>
                </c:pt>
                <c:pt idx="378">
                  <c:v>45.609064128516032</c:v>
                </c:pt>
                <c:pt idx="379">
                  <c:v>45.610914733946899</c:v>
                </c:pt>
                <c:pt idx="380">
                  <c:v>45.612746833323456</c:v>
                </c:pt>
                <c:pt idx="381">
                  <c:v>45.614560611706246</c:v>
                </c:pt>
                <c:pt idx="382">
                  <c:v>45.616356252305209</c:v>
                </c:pt>
                <c:pt idx="383">
                  <c:v>45.618133936498182</c:v>
                </c:pt>
                <c:pt idx="384">
                  <c:v>45.619893843849226</c:v>
                </c:pt>
                <c:pt idx="385">
                  <c:v>45.621636152126761</c:v>
                </c:pt>
                <c:pt idx="386">
                  <c:v>45.623361037321523</c:v>
                </c:pt>
                <c:pt idx="387">
                  <c:v>45.62506867366433</c:v>
                </c:pt>
                <c:pt idx="388">
                  <c:v>45.62675923364371</c:v>
                </c:pt>
                <c:pt idx="389">
                  <c:v>45.628432888023298</c:v>
                </c:pt>
                <c:pt idx="390">
                  <c:v>45.630089805859093</c:v>
                </c:pt>
                <c:pt idx="391">
                  <c:v>45.631730154516525</c:v>
                </c:pt>
                <c:pt idx="392">
                  <c:v>45.633354099687388</c:v>
                </c:pt>
                <c:pt idx="393">
                  <c:v>45.63496180540654</c:v>
                </c:pt>
                <c:pt idx="394">
                  <c:v>45.636553434068503</c:v>
                </c:pt>
                <c:pt idx="395">
                  <c:v>45.638129146443845</c:v>
                </c:pt>
                <c:pt idx="396">
                  <c:v>45.639689101695431</c:v>
                </c:pt>
                <c:pt idx="397">
                  <c:v>45.641233457394506</c:v>
                </c:pt>
                <c:pt idx="398">
                  <c:v>45.642762369536584</c:v>
                </c:pt>
                <c:pt idx="399">
                  <c:v>45.64427599255724</c:v>
                </c:pt>
                <c:pt idx="400">
                  <c:v>45.645774479347693</c:v>
                </c:pt>
                <c:pt idx="401">
                  <c:v>45.647257981270243</c:v>
                </c:pt>
                <c:pt idx="402">
                  <c:v>45.648726648173565</c:v>
                </c:pt>
                <c:pt idx="403">
                  <c:v>45.650180628407853</c:v>
                </c:pt>
                <c:pt idx="404">
                  <c:v>45.651620068839797</c:v>
                </c:pt>
                <c:pt idx="405">
                  <c:v>45.653045114867425</c:v>
                </c:pt>
                <c:pt idx="406">
                  <c:v>45.654455910434777</c:v>
                </c:pt>
                <c:pt idx="407">
                  <c:v>45.655852598046458</c:v>
                </c:pt>
                <c:pt idx="408">
                  <c:v>45.657235318782021</c:v>
                </c:pt>
                <c:pt idx="409">
                  <c:v>45.65860421231023</c:v>
                </c:pt>
                <c:pt idx="410">
                  <c:v>45.659959416903156</c:v>
                </c:pt>
                <c:pt idx="411">
                  <c:v>45.661301069450147</c:v>
                </c:pt>
                <c:pt idx="412">
                  <c:v>45.662629305471668</c:v>
                </c:pt>
                <c:pt idx="413">
                  <c:v>45.663944259132975</c:v>
                </c:pt>
                <c:pt idx="414">
                  <c:v>45.665246063257669</c:v>
                </c:pt>
                <c:pt idx="415">
                  <c:v>45.666534849341119</c:v>
                </c:pt>
                <c:pt idx="416">
                  <c:v>45.667810747563735</c:v>
                </c:pt>
                <c:pt idx="417">
                  <c:v>45.669073886804121</c:v>
                </c:pt>
                <c:pt idx="418">
                  <c:v>45.670324394652106</c:v>
                </c:pt>
                <c:pt idx="419">
                  <c:v>45.67156239742161</c:v>
                </c:pt>
                <c:pt idx="420">
                  <c:v>45.672788020163416</c:v>
                </c:pt>
                <c:pt idx="421">
                  <c:v>45.674001386677809</c:v>
                </c:pt>
                <c:pt idx="422">
                  <c:v>45.675202619527056</c:v>
                </c:pt>
                <c:pt idx="423">
                  <c:v>45.676391840047813</c:v>
                </c:pt>
                <c:pt idx="424">
                  <c:v>45.677569168363362</c:v>
                </c:pt>
                <c:pt idx="425">
                  <c:v>45.678734723395756</c:v>
                </c:pt>
                <c:pt idx="426">
                  <c:v>45.679888622877826</c:v>
                </c:pt>
                <c:pt idx="427">
                  <c:v>45.681030983365076</c:v>
                </c:pt>
                <c:pt idx="428">
                  <c:v>45.682161920247452</c:v>
                </c:pt>
                <c:pt idx="429">
                  <c:v>45.683281547761005</c:v>
                </c:pt>
                <c:pt idx="430">
                  <c:v>45.68438997899942</c:v>
                </c:pt>
                <c:pt idx="431">
                  <c:v>45.68548732592545</c:v>
                </c:pt>
                <c:pt idx="432">
                  <c:v>45.686573699382222</c:v>
                </c:pt>
                <c:pt idx="433">
                  <c:v>45.687649209104428</c:v>
                </c:pt>
                <c:pt idx="434">
                  <c:v>45.688713963729413</c:v>
                </c:pt>
                <c:pt idx="435">
                  <c:v>45.689768070808142</c:v>
                </c:pt>
                <c:pt idx="436">
                  <c:v>45.690811636816086</c:v>
                </c:pt>
                <c:pt idx="437">
                  <c:v>45.69184476716395</c:v>
                </c:pt>
                <c:pt idx="438">
                  <c:v>45.692867566208335</c:v>
                </c:pt>
                <c:pt idx="439">
                  <c:v>45.693880137262276</c:v>
                </c:pt>
                <c:pt idx="440">
                  <c:v>45.694882582605679</c:v>
                </c:pt>
                <c:pt idx="441">
                  <c:v>45.695875003495651</c:v>
                </c:pt>
                <c:pt idx="442">
                  <c:v>45.696857500176719</c:v>
                </c:pt>
                <c:pt idx="443">
                  <c:v>45.697830171890978</c:v>
                </c:pt>
                <c:pt idx="444">
                  <c:v>45.698793116888091</c:v>
                </c:pt>
                <c:pt idx="445">
                  <c:v>45.699746432435234</c:v>
                </c:pt>
                <c:pt idx="446">
                  <c:v>45.700690214826906</c:v>
                </c:pt>
                <c:pt idx="447">
                  <c:v>45.701624559394666</c:v>
                </c:pt>
                <c:pt idx="448">
                  <c:v>45.702549560516744</c:v>
                </c:pt>
                <c:pt idx="449">
                  <c:v>45.703465311627603</c:v>
                </c:pt>
                <c:pt idx="450">
                  <c:v>45.704371905227354</c:v>
                </c:pt>
                <c:pt idx="451">
                  <c:v>45.705269432891107</c:v>
                </c:pt>
                <c:pt idx="452">
                  <c:v>45.706157985278224</c:v>
                </c:pt>
                <c:pt idx="453">
                  <c:v>45.707037652141466</c:v>
                </c:pt>
                <c:pt idx="454">
                  <c:v>45.707908522336076</c:v>
                </c:pt>
                <c:pt idx="455">
                  <c:v>45.708770683828739</c:v>
                </c:pt>
                <c:pt idx="456">
                  <c:v>45.709624223706477</c:v>
                </c:pt>
                <c:pt idx="457">
                  <c:v>45.710469228185438</c:v>
                </c:pt>
                <c:pt idx="458">
                  <c:v>45.711305782619611</c:v>
                </c:pt>
                <c:pt idx="459">
                  <c:v>45.712133971509438</c:v>
                </c:pt>
                <c:pt idx="460">
                  <c:v>45.712953878510369</c:v>
                </c:pt>
                <c:pt idx="461">
                  <c:v>45.713765586441291</c:v>
                </c:pt>
                <c:pt idx="462">
                  <c:v>45.714569177292901</c:v>
                </c:pt>
                <c:pt idx="463">
                  <c:v>45.715364732235997</c:v>
                </c:pt>
                <c:pt idx="464">
                  <c:v>45.716152331629665</c:v>
                </c:pt>
                <c:pt idx="465">
                  <c:v>45.716932055029396</c:v>
                </c:pt>
                <c:pt idx="466">
                  <c:v>45.717703981195129</c:v>
                </c:pt>
                <c:pt idx="467">
                  <c:v>45.718468188099202</c:v>
                </c:pt>
                <c:pt idx="468">
                  <c:v>45.719224752934238</c:v>
                </c:pt>
                <c:pt idx="469">
                  <c:v>45.719973752120922</c:v>
                </c:pt>
                <c:pt idx="470">
                  <c:v>45.720715261315739</c:v>
                </c:pt>
                <c:pt idx="471">
                  <c:v>45.721449355418606</c:v>
                </c:pt>
                <c:pt idx="472">
                  <c:v>45.722176108580449</c:v>
                </c:pt>
                <c:pt idx="473">
                  <c:v>45.722895594210669</c:v>
                </c:pt>
                <c:pt idx="474">
                  <c:v>45.723607884984588</c:v>
                </c:pt>
                <c:pt idx="475">
                  <c:v>45.724313052850768</c:v>
                </c:pt>
                <c:pt idx="476">
                  <c:v>45.725011169038282</c:v>
                </c:pt>
                <c:pt idx="477">
                  <c:v>45.725702304063923</c:v>
                </c:pt>
                <c:pt idx="478">
                  <c:v>45.726386527739308</c:v>
                </c:pt>
                <c:pt idx="479">
                  <c:v>45.727063909177943</c:v>
                </c:pt>
                <c:pt idx="480">
                  <c:v>45.727734516802187</c:v>
                </c:pt>
                <c:pt idx="481">
                  <c:v>45.728398418350189</c:v>
                </c:pt>
                <c:pt idx="482">
                  <c:v>45.729055680882709</c:v>
                </c:pt>
                <c:pt idx="483">
                  <c:v>45.729706370789906</c:v>
                </c:pt>
                <c:pt idx="484">
                  <c:v>45.730350553798033</c:v>
                </c:pt>
                <c:pt idx="485">
                  <c:v>45.730988294976079</c:v>
                </c:pt>
                <c:pt idx="486">
                  <c:v>45.731619658742346</c:v>
                </c:pt>
                <c:pt idx="487">
                  <c:v>45.732244708870951</c:v>
                </c:pt>
                <c:pt idx="488">
                  <c:v>45.732863508498269</c:v>
                </c:pt>
                <c:pt idx="489">
                  <c:v>45.733476120129311</c:v>
                </c:pt>
                <c:pt idx="490">
                  <c:v>45.734082605644041</c:v>
                </c:pt>
                <c:pt idx="491">
                  <c:v>45.734683026303628</c:v>
                </c:pt>
                <c:pt idx="492">
                  <c:v>45.735277442756619</c:v>
                </c:pt>
                <c:pt idx="493">
                  <c:v>45.735865915045082</c:v>
                </c:pt>
                <c:pt idx="494">
                  <c:v>45.736448502610656</c:v>
                </c:pt>
                <c:pt idx="495">
                  <c:v>45.737025264300577</c:v>
                </c:pt>
                <c:pt idx="496">
                  <c:v>45.7375962583736</c:v>
                </c:pt>
                <c:pt idx="497">
                  <c:v>45.738161542505892</c:v>
                </c:pt>
                <c:pt idx="498">
                  <c:v>45.738721173796861</c:v>
                </c:pt>
                <c:pt idx="499">
                  <c:v>45.73927520877492</c:v>
                </c:pt>
                <c:pt idx="500">
                  <c:v>45.739823703403196</c:v>
                </c:pt>
                <c:pt idx="501">
                  <c:v>45.740366713085187</c:v>
                </c:pt>
                <c:pt idx="502">
                  <c:v>45.740904292670358</c:v>
                </c:pt>
                <c:pt idx="503">
                  <c:v>45.741436496459677</c:v>
                </c:pt>
                <c:pt idx="504">
                  <c:v>45.741963378211103</c:v>
                </c:pt>
                <c:pt idx="505">
                  <c:v>45.74248499114502</c:v>
                </c:pt>
                <c:pt idx="506">
                  <c:v>45.743001387949597</c:v>
                </c:pt>
                <c:pt idx="507">
                  <c:v>45.743512620786127</c:v>
                </c:pt>
                <c:pt idx="508">
                  <c:v>45.74401874129429</c:v>
                </c:pt>
                <c:pt idx="509">
                  <c:v>45.744519800597374</c:v>
                </c:pt>
                <c:pt idx="510">
                  <c:v>45.745015849307428</c:v>
                </c:pt>
                <c:pt idx="511">
                  <c:v>45.745506937530379</c:v>
                </c:pt>
                <c:pt idx="512">
                  <c:v>45.745993114871098</c:v>
                </c:pt>
                <c:pt idx="513">
                  <c:v>45.746474430438411</c:v>
                </c:pt>
                <c:pt idx="514">
                  <c:v>45.746950932850055</c:v>
                </c:pt>
                <c:pt idx="515">
                  <c:v>45.747422670237583</c:v>
                </c:pt>
                <c:pt idx="516">
                  <c:v>45.747889690251235</c:v>
                </c:pt>
                <c:pt idx="517">
                  <c:v>45.748352040064745</c:v>
                </c:pt>
                <c:pt idx="518">
                  <c:v>45.74880976638012</c:v>
                </c:pt>
                <c:pt idx="519">
                  <c:v>45.749262915432347</c:v>
                </c:pt>
                <c:pt idx="520">
                  <c:v>45.749711532994048</c:v>
                </c:pt>
                <c:pt idx="521">
                  <c:v>45.750155664380131</c:v>
                </c:pt>
                <c:pt idx="522">
                  <c:v>45.750595354452358</c:v>
                </c:pt>
                <c:pt idx="523">
                  <c:v>45.751030647623857</c:v>
                </c:pt>
                <c:pt idx="524">
                  <c:v>45.751461587863645</c:v>
                </c:pt>
                <c:pt idx="525">
                  <c:v>45.751888218701033</c:v>
                </c:pt>
                <c:pt idx="526">
                  <c:v>45.752310583230049</c:v>
                </c:pt>
                <c:pt idx="527">
                  <c:v>45.752728724113773</c:v>
                </c:pt>
                <c:pt idx="528">
                  <c:v>45.753142683588663</c:v>
                </c:pt>
                <c:pt idx="529">
                  <c:v>45.753552503468804</c:v>
                </c:pt>
                <c:pt idx="530">
                  <c:v>45.753958225150143</c:v>
                </c:pt>
                <c:pt idx="531">
                  <c:v>45.754359889614669</c:v>
                </c:pt>
                <c:pt idx="532">
                  <c:v>45.75475753743455</c:v>
                </c:pt>
                <c:pt idx="533">
                  <c:v>45.755151208776233</c:v>
                </c:pt>
                <c:pt idx="534">
                  <c:v>45.755540943404498</c:v>
                </c:pt>
                <c:pt idx="535">
                  <c:v>45.75592678068648</c:v>
                </c:pt>
                <c:pt idx="536">
                  <c:v>45.75630875959564</c:v>
                </c:pt>
                <c:pt idx="537">
                  <c:v>45.756686918715708</c:v>
                </c:pt>
                <c:pt idx="538">
                  <c:v>45.757061296244579</c:v>
                </c:pt>
                <c:pt idx="539">
                  <c:v>45.757431929998162</c:v>
                </c:pt>
                <c:pt idx="540">
                  <c:v>45.757798857414208</c:v>
                </c:pt>
                <c:pt idx="541">
                  <c:v>45.75816211555609</c:v>
                </c:pt>
                <c:pt idx="542">
                  <c:v>45.758521741116553</c:v>
                </c:pt>
                <c:pt idx="543">
                  <c:v>45.758877770421414</c:v>
                </c:pt>
                <c:pt idx="544">
                  <c:v>45.759230239433222</c:v>
                </c:pt>
                <c:pt idx="545">
                  <c:v>45.759579183754916</c:v>
                </c:pt>
                <c:pt idx="546">
                  <c:v>45.759924638633393</c:v>
                </c:pt>
                <c:pt idx="547">
                  <c:v>45.760266638963088</c:v>
                </c:pt>
                <c:pt idx="548">
                  <c:v>45.760605219289481</c:v>
                </c:pt>
                <c:pt idx="549">
                  <c:v>45.760940413812612</c:v>
                </c:pt>
                <c:pt idx="550">
                  <c:v>45.761272256390512</c:v>
                </c:pt>
                <c:pt idx="551">
                  <c:v>45.761600780542636</c:v>
                </c:pt>
                <c:pt idx="552">
                  <c:v>45.761926019453234</c:v>
                </c:pt>
                <c:pt idx="553">
                  <c:v>45.762248005974726</c:v>
                </c:pt>
                <c:pt idx="554">
                  <c:v>45.762566772631004</c:v>
                </c:pt>
                <c:pt idx="555">
                  <c:v>45.762882351620718</c:v>
                </c:pt>
                <c:pt idx="556">
                  <c:v>45.763194774820533</c:v>
                </c:pt>
                <c:pt idx="557">
                  <c:v>45.763504073788354</c:v>
                </c:pt>
                <c:pt idx="558">
                  <c:v>45.763810279766496</c:v>
                </c:pt>
                <c:pt idx="559">
                  <c:v>45.764113423684854</c:v>
                </c:pt>
                <c:pt idx="560">
                  <c:v>45.764413536164028</c:v>
                </c:pt>
                <c:pt idx="561">
                  <c:v>45.764710647518413</c:v>
                </c:pt>
                <c:pt idx="562">
                  <c:v>45.765004787759253</c:v>
                </c:pt>
                <c:pt idx="563">
                  <c:v>45.765295986597685</c:v>
                </c:pt>
                <c:pt idx="564">
                  <c:v>45.765584273447736</c:v>
                </c:pt>
                <c:pt idx="565">
                  <c:v>45.765869677429286</c:v>
                </c:pt>
                <c:pt idx="566">
                  <c:v>45.766152227371016</c:v>
                </c:pt>
                <c:pt idx="567">
                  <c:v>45.766431951813331</c:v>
                </c:pt>
                <c:pt idx="568">
                  <c:v>45.766708879011226</c:v>
                </c:pt>
                <c:pt idx="569">
                  <c:v>45.766983036937141</c:v>
                </c:pt>
                <c:pt idx="570">
                  <c:v>45.767254453283797</c:v>
                </c:pt>
                <c:pt idx="571">
                  <c:v>45.767523155466982</c:v>
                </c:pt>
                <c:pt idx="572">
                  <c:v>45.76778917062834</c:v>
                </c:pt>
                <c:pt idx="573">
                  <c:v>45.768052525638083</c:v>
                </c:pt>
                <c:pt idx="574">
                  <c:v>45.76831324709773</c:v>
                </c:pt>
                <c:pt idx="575">
                  <c:v>45.768571361342779</c:v>
                </c:pt>
                <c:pt idx="576">
                  <c:v>45.768826894445375</c:v>
                </c:pt>
                <c:pt idx="577">
                  <c:v>45.769079872216949</c:v>
                </c:pt>
                <c:pt idx="578">
                  <c:v>45.769330320210805</c:v>
                </c:pt>
                <c:pt idx="579">
                  <c:v>45.769578263724725</c:v>
                </c:pt>
                <c:pt idx="580">
                  <c:v>45.769823727803505</c:v>
                </c:pt>
                <c:pt idx="581">
                  <c:v>45.770066737241493</c:v>
                </c:pt>
                <c:pt idx="582">
                  <c:v>45.770307316585104</c:v>
                </c:pt>
                <c:pt idx="583">
                  <c:v>45.770545490135277</c:v>
                </c:pt>
                <c:pt idx="584">
                  <c:v>45.770781281949951</c:v>
                </c:pt>
                <c:pt idx="585">
                  <c:v>45.771014715846476</c:v>
                </c:pt>
                <c:pt idx="586">
                  <c:v>45.771245815404036</c:v>
                </c:pt>
                <c:pt idx="587">
                  <c:v>45.77147460396602</c:v>
                </c:pt>
                <c:pt idx="588">
                  <c:v>45.771701104642382</c:v>
                </c:pt>
                <c:pt idx="589">
                  <c:v>45.771925340311981</c:v>
                </c:pt>
                <c:pt idx="590">
                  <c:v>45.772147333624886</c:v>
                </c:pt>
                <c:pt idx="591">
                  <c:v>45.772367107004662</c:v>
                </c:pt>
                <c:pt idx="592">
                  <c:v>45.772584682650638</c:v>
                </c:pt>
                <c:pt idx="593">
                  <c:v>45.772800082540158</c:v>
                </c:pt>
                <c:pt idx="594">
                  <c:v>45.773013328430785</c:v>
                </c:pt>
                <c:pt idx="595">
                  <c:v>45.773224441862503</c:v>
                </c:pt>
                <c:pt idx="596">
                  <c:v>45.773433444159906</c:v>
                </c:pt>
                <c:pt idx="597">
                  <c:v>45.773640356434335</c:v>
                </c:pt>
                <c:pt idx="598">
                  <c:v>45.77384519958602</c:v>
                </c:pt>
                <c:pt idx="599">
                  <c:v>45.774047994306187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B-4ECA-A018-E8E8F5AC4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375904"/>
        <c:axId val="379371744"/>
      </c:scatterChart>
      <c:valAx>
        <c:axId val="37937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1744"/>
        <c:crosses val="autoZero"/>
        <c:crossBetween val="midCat"/>
      </c:valAx>
      <c:valAx>
        <c:axId val="379371744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37937590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1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T1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Report'!$D$11:$D$610</c:f>
              <c:numCache>
                <c:formatCode>General</c:formatCode>
                <c:ptCount val="6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20</c:v>
                </c:pt>
                <c:pt idx="297">
                  <c:v>20</c:v>
                </c:pt>
                <c:pt idx="298">
                  <c:v>20</c:v>
                </c:pt>
                <c:pt idx="299">
                  <c:v>20</c:v>
                </c:pt>
                <c:pt idx="300">
                  <c:v>20</c:v>
                </c:pt>
                <c:pt idx="301">
                  <c:v>20</c:v>
                </c:pt>
                <c:pt idx="302">
                  <c:v>20</c:v>
                </c:pt>
                <c:pt idx="303">
                  <c:v>20</c:v>
                </c:pt>
                <c:pt idx="304">
                  <c:v>20</c:v>
                </c:pt>
                <c:pt idx="305">
                  <c:v>20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20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20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20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20</c:v>
                </c:pt>
                <c:pt idx="347">
                  <c:v>20</c:v>
                </c:pt>
                <c:pt idx="348">
                  <c:v>20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20</c:v>
                </c:pt>
                <c:pt idx="360">
                  <c:v>20</c:v>
                </c:pt>
                <c:pt idx="361">
                  <c:v>20</c:v>
                </c:pt>
                <c:pt idx="362">
                  <c:v>20</c:v>
                </c:pt>
                <c:pt idx="363">
                  <c:v>20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60-4291-B344-3FDC75E2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37888"/>
        <c:axId val="425238720"/>
      </c:scatterChart>
      <c:valAx>
        <c:axId val="42523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25238720"/>
        <c:crosses val="autoZero"/>
        <c:crossBetween val="midCat"/>
      </c:valAx>
      <c:valAx>
        <c:axId val="425238720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25237888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T2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Report'!$E$11:$E$610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40.844124671602572</c:v>
                </c:pt>
                <c:pt idx="52">
                  <c:v>40.889707188918074</c:v>
                </c:pt>
                <c:pt idx="53">
                  <c:v>40.931165778646914</c:v>
                </c:pt>
                <c:pt idx="54">
                  <c:v>40.968776606278134</c:v>
                </c:pt>
                <c:pt idx="55">
                  <c:v>41.002799416158119</c:v>
                </c:pt>
                <c:pt idx="56">
                  <c:v>41.033478448034359</c:v>
                </c:pt>
                <c:pt idx="57">
                  <c:v>41.061043304390523</c:v>
                </c:pt>
                <c:pt idx="58">
                  <c:v>41.085709771147364</c:v>
                </c:pt>
                <c:pt idx="59">
                  <c:v>41.107680594171633</c:v>
                </c:pt>
                <c:pt idx="60">
                  <c:v>41.127146213909676</c:v>
                </c:pt>
                <c:pt idx="61">
                  <c:v>41.144285460343127</c:v>
                </c:pt>
                <c:pt idx="62">
                  <c:v>41.159266210351134</c:v>
                </c:pt>
                <c:pt idx="63">
                  <c:v>41.172246009455925</c:v>
                </c:pt>
                <c:pt idx="64">
                  <c:v>41.183372659826844</c:v>
                </c:pt>
                <c:pt idx="65">
                  <c:v>41.192784776321048</c:v>
                </c:pt>
                <c:pt idx="66">
                  <c:v>41.200612312247266</c:v>
                </c:pt>
                <c:pt idx="67">
                  <c:v>41.206977056451954</c:v>
                </c:pt>
                <c:pt idx="68">
                  <c:v>41.211993103244311</c:v>
                </c:pt>
                <c:pt idx="69">
                  <c:v>41.215767296598237</c:v>
                </c:pt>
                <c:pt idx="70">
                  <c:v>41.21839964999473</c:v>
                </c:pt>
                <c:pt idx="71">
                  <c:v>41.219983743197552</c:v>
                </c:pt>
                <c:pt idx="72">
                  <c:v>41.220607097187916</c:v>
                </c:pt>
                <c:pt idx="73">
                  <c:v>41.22035152842021</c:v>
                </c:pt>
                <c:pt idx="74">
                  <c:v>41.219293483500444</c:v>
                </c:pt>
                <c:pt idx="75">
                  <c:v>41.217504355331691</c:v>
                </c:pt>
                <c:pt idx="76">
                  <c:v>41.215050781716513</c:v>
                </c:pt>
                <c:pt idx="77">
                  <c:v>41.211994927354624</c:v>
                </c:pt>
                <c:pt idx="78">
                  <c:v>41.208394750125194</c:v>
                </c:pt>
                <c:pt idx="79">
                  <c:v>41.204304252496705</c:v>
                </c:pt>
                <c:pt idx="80">
                  <c:v>41.199773718863128</c:v>
                </c:pt>
                <c:pt idx="81">
                  <c:v>41.194849939563554</c:v>
                </c:pt>
                <c:pt idx="82">
                  <c:v>41.189576422302601</c:v>
                </c:pt>
                <c:pt idx="83">
                  <c:v>41.183993591651316</c:v>
                </c:pt>
                <c:pt idx="84">
                  <c:v>41.178138977272745</c:v>
                </c:pt>
                <c:pt idx="85">
                  <c:v>41.172047391482309</c:v>
                </c:pt>
                <c:pt idx="86">
                  <c:v>41.165751096721173</c:v>
                </c:pt>
                <c:pt idx="87">
                  <c:v>41.159279963490256</c:v>
                </c:pt>
                <c:pt idx="88">
                  <c:v>41.152661619263711</c:v>
                </c:pt>
                <c:pt idx="89">
                  <c:v>41.145921588873321</c:v>
                </c:pt>
                <c:pt idx="90">
                  <c:v>41.139083426829231</c:v>
                </c:pt>
                <c:pt idx="91">
                  <c:v>41.132168842017876</c:v>
                </c:pt>
                <c:pt idx="92">
                  <c:v>41.125197815194603</c:v>
                </c:pt>
                <c:pt idx="93">
                  <c:v>41.118188709666313</c:v>
                </c:pt>
                <c:pt idx="94">
                  <c:v>41.11115837553853</c:v>
                </c:pt>
                <c:pt idx="95">
                  <c:v>41.104122247881307</c:v>
                </c:pt>
                <c:pt idx="96">
                  <c:v>41.097094439149586</c:v>
                </c:pt>
                <c:pt idx="97">
                  <c:v>41.090087826175733</c:v>
                </c:pt>
                <c:pt idx="98">
                  <c:v>41.083114132034972</c:v>
                </c:pt>
                <c:pt idx="99">
                  <c:v>41.076184003068441</c:v>
                </c:pt>
                <c:pt idx="100">
                  <c:v>41.069307081333292</c:v>
                </c:pt>
                <c:pt idx="101">
                  <c:v>41.062492072734848</c:v>
                </c:pt>
                <c:pt idx="102">
                  <c:v>41.055746811082173</c:v>
                </c:pt>
                <c:pt idx="103">
                  <c:v>41.049078318295365</c:v>
                </c:pt>
                <c:pt idx="104">
                  <c:v>41.042492860980708</c:v>
                </c:pt>
                <c:pt idx="105">
                  <c:v>41.03599600357807</c:v>
                </c:pt>
                <c:pt idx="106">
                  <c:v>41.029592658273934</c:v>
                </c:pt>
                <c:pt idx="107">
                  <c:v>41.023287131863015</c:v>
                </c:pt>
                <c:pt idx="108">
                  <c:v>41.017083169731507</c:v>
                </c:pt>
                <c:pt idx="109">
                  <c:v>41.010983997125571</c:v>
                </c:pt>
                <c:pt idx="110">
                  <c:v>41.004992357859869</c:v>
                </c:pt>
                <c:pt idx="111">
                  <c:v>40.999110550612421</c:v>
                </c:pt>
                <c:pt idx="112">
                  <c:v>40.993340462944218</c:v>
                </c:pt>
                <c:pt idx="113">
                  <c:v>40.987683603174325</c:v>
                </c:pt>
                <c:pt idx="114">
                  <c:v>40.982141130234197</c:v>
                </c:pt>
                <c:pt idx="115">
                  <c:v>40.976713881617997</c:v>
                </c:pt>
                <c:pt idx="116">
                  <c:v>40.971402399539457</c:v>
                </c:pt>
                <c:pt idx="117">
                  <c:v>40.96620695539962</c:v>
                </c:pt>
                <c:pt idx="118">
                  <c:v>40.961127572664111</c:v>
                </c:pt>
                <c:pt idx="119">
                  <c:v>40.956164048243096</c:v>
                </c:pt>
                <c:pt idx="120">
                  <c:v>40.95131597246197</c:v>
                </c:pt>
                <c:pt idx="121">
                  <c:v>40.946582747705961</c:v>
                </c:pt>
                <c:pt idx="122">
                  <c:v>40.941963605817108</c:v>
                </c:pt>
                <c:pt idx="123">
                  <c:v>40.937457624317815</c:v>
                </c:pt>
                <c:pt idx="124">
                  <c:v>40.933063741530987</c:v>
                </c:pt>
                <c:pt idx="125">
                  <c:v>40.928780770662833</c:v>
                </c:pt>
                <c:pt idx="126">
                  <c:v>40.924607412910781</c:v>
                </c:pt>
                <c:pt idx="127">
                  <c:v>40.920542269655328</c:v>
                </c:pt>
                <c:pt idx="128">
                  <c:v>40.916583853791437</c:v>
                </c:pt>
                <c:pt idx="129">
                  <c:v>40.912730600251919</c:v>
                </c:pt>
                <c:pt idx="130">
                  <c:v>40.908980875772251</c:v>
                </c:pt>
                <c:pt idx="131">
                  <c:v>40.905332987943517</c:v>
                </c:pt>
                <c:pt idx="132">
                  <c:v>40.901785193597426</c:v>
                </c:pt>
                <c:pt idx="133">
                  <c:v>40.898335706564964</c:v>
                </c:pt>
                <c:pt idx="134">
                  <c:v>40.894982704847735</c:v>
                </c:pt>
                <c:pt idx="135">
                  <c:v>40.891724337238948</c:v>
                </c:pt>
                <c:pt idx="136">
                  <c:v>40.888558729428716</c:v>
                </c:pt>
                <c:pt idx="137">
                  <c:v>40.885483989626486</c:v>
                </c:pt>
                <c:pt idx="138">
                  <c:v>40.882498213731409</c:v>
                </c:pt>
                <c:pt idx="139">
                  <c:v>40.879599490079734</c:v>
                </c:pt>
                <c:pt idx="140">
                  <c:v>40.876785903796574</c:v>
                </c:pt>
                <c:pt idx="141">
                  <c:v>40.874055540777853</c:v>
                </c:pt>
                <c:pt idx="142">
                  <c:v>40.871406491326631</c:v>
                </c:pt>
                <c:pt idx="143">
                  <c:v>40.868836853466682</c:v>
                </c:pt>
                <c:pt idx="144">
                  <c:v>40.866344735954812</c:v>
                </c:pt>
                <c:pt idx="145">
                  <c:v>40.863928261012056</c:v>
                </c:pt>
                <c:pt idx="146">
                  <c:v>40.861585566792868</c:v>
                </c:pt>
                <c:pt idx="147">
                  <c:v>40.859314809610062</c:v>
                </c:pt>
                <c:pt idx="148">
                  <c:v>40.857114165932401</c:v>
                </c:pt>
                <c:pt idx="149">
                  <c:v>40.854981834170523</c:v>
                </c:pt>
                <c:pt idx="150">
                  <c:v>40.852916036266123</c:v>
                </c:pt>
                <c:pt idx="151">
                  <c:v>40.850915019098288</c:v>
                </c:pt>
                <c:pt idx="152">
                  <c:v>40.848977055720027</c:v>
                </c:pt>
                <c:pt idx="153">
                  <c:v>40.847100446437345</c:v>
                </c:pt>
                <c:pt idx="154">
                  <c:v>40.84528351974231</c:v>
                </c:pt>
                <c:pt idx="155">
                  <c:v>40.843524633111016</c:v>
                </c:pt>
                <c:pt idx="156">
                  <c:v>40.841822173676455</c:v>
                </c:pt>
                <c:pt idx="157">
                  <c:v>40.840174558785911</c:v>
                </c:pt>
                <c:pt idx="158">
                  <c:v>40.838580236451733</c:v>
                </c:pt>
                <c:pt idx="159">
                  <c:v>40.83703768570382</c:v>
                </c:pt>
                <c:pt idx="160">
                  <c:v>40.83554541685163</c:v>
                </c:pt>
                <c:pt idx="161">
                  <c:v>40.83410197166306</c:v>
                </c:pt>
                <c:pt idx="162">
                  <c:v>40.832705923466996</c:v>
                </c:pt>
                <c:pt idx="163">
                  <c:v>40.831355877185956</c:v>
                </c:pt>
                <c:pt idx="164">
                  <c:v>40.830050469304773</c:v>
                </c:pt>
                <c:pt idx="165">
                  <c:v>40.828788367780923</c:v>
                </c:pt>
                <c:pt idx="166">
                  <c:v>40.827568271901768</c:v>
                </c:pt>
                <c:pt idx="167">
                  <c:v>40.826388912093442</c:v>
                </c:pt>
                <c:pt idx="168">
                  <c:v>40.825249049686086</c:v>
                </c:pt>
                <c:pt idx="169">
                  <c:v>40.824147476639553</c:v>
                </c:pt>
                <c:pt idx="170">
                  <c:v>40.82308301523355</c:v>
                </c:pt>
                <c:pt idx="171">
                  <c:v>40.822054517725924</c:v>
                </c:pt>
                <c:pt idx="172">
                  <c:v>40.821060865982474</c:v>
                </c:pt>
                <c:pt idx="173">
                  <c:v>40.820100971081473</c:v>
                </c:pt>
                <c:pt idx="174">
                  <c:v>40.819173772895859</c:v>
                </c:pt>
                <c:pt idx="175">
                  <c:v>40.818278239655797</c:v>
                </c:pt>
                <c:pt idx="176">
                  <c:v>40.81741336749424</c:v>
                </c:pt>
                <c:pt idx="177">
                  <c:v>40.816578179977718</c:v>
                </c:pt>
                <c:pt idx="178">
                  <c:v>40.81577172762465</c:v>
                </c:pt>
                <c:pt idx="179">
                  <c:v>40.814993087413121</c:v>
                </c:pt>
                <c:pt idx="180">
                  <c:v>40.814241362279994</c:v>
                </c:pt>
                <c:pt idx="181">
                  <c:v>40.813515680613115</c:v>
                </c:pt>
                <c:pt idx="182">
                  <c:v>40.812815195738146</c:v>
                </c:pt>
                <c:pt idx="183">
                  <c:v>40.812139085401498</c:v>
                </c:pt>
                <c:pt idx="184">
                  <c:v>40.811486551250724</c:v>
                </c:pt>
                <c:pt idx="185">
                  <c:v>40.810856818313532</c:v>
                </c:pt>
                <c:pt idx="186">
                  <c:v>40.810249134476642</c:v>
                </c:pt>
                <c:pt idx="187">
                  <c:v>40.809662769965428</c:v>
                </c:pt>
                <c:pt idx="188">
                  <c:v>40.809097016825291</c:v>
                </c:pt>
                <c:pt idx="189">
                  <c:v>40.808551188405687</c:v>
                </c:pt>
                <c:pt idx="190">
                  <c:v>40.808024618847476</c:v>
                </c:pt>
                <c:pt idx="191">
                  <c:v>40.807516662574407</c:v>
                </c:pt>
                <c:pt idx="192">
                  <c:v>40.80702669378924</c:v>
                </c:pt>
                <c:pt idx="193">
                  <c:v>40.806554105975202</c:v>
                </c:pt>
                <c:pt idx="194">
                  <c:v>40.806098311403218</c:v>
                </c:pt>
                <c:pt idx="195">
                  <c:v>40.805658740645335</c:v>
                </c:pt>
                <c:pt idx="196">
                  <c:v>40.805234842094848</c:v>
                </c:pt>
                <c:pt idx="197">
                  <c:v>40.804826081493381</c:v>
                </c:pt>
                <c:pt idx="198">
                  <c:v>40.804431941465289</c:v>
                </c:pt>
                <c:pt idx="199">
                  <c:v>40.804051921059617</c:v>
                </c:pt>
                <c:pt idx="200">
                  <c:v>40.803685535299891</c:v>
                </c:pt>
                <c:pt idx="201">
                  <c:v>40.803332314741894</c:v>
                </c:pt>
                <c:pt idx="202">
                  <c:v>40.802991805039611</c:v>
                </c:pt>
                <c:pt idx="203">
                  <c:v>40.80266356651947</c:v>
                </c:pt>
                <c:pt idx="204">
                  <c:v>40.80234717376301</c:v>
                </c:pt>
                <c:pt idx="205">
                  <c:v>40.802042215198007</c:v>
                </c:pt>
                <c:pt idx="206">
                  <c:v>40.801748292698178</c:v>
                </c:pt>
                <c:pt idx="207">
                  <c:v>40.801465021191426</c:v>
                </c:pt>
                <c:pt idx="208">
                  <c:v>40.801192028276716</c:v>
                </c:pt>
                <c:pt idx="209">
                  <c:v>40.800928953849549</c:v>
                </c:pt>
                <c:pt idx="210">
                  <c:v>40.800675449735984</c:v>
                </c:pt>
                <c:pt idx="211">
                  <c:v>40.80043117933522</c:v>
                </c:pt>
                <c:pt idx="212">
                  <c:v>40.800195817270676</c:v>
                </c:pt>
                <c:pt idx="213">
                  <c:v>40.79996904904953</c:v>
                </c:pt>
                <c:pt idx="214">
                  <c:v>40.799750570730566</c:v>
                </c:pt>
                <c:pt idx="215">
                  <c:v>40.799540088600388</c:v>
                </c:pt>
                <c:pt idx="216">
                  <c:v>40.799337318857752</c:v>
                </c:pt>
                <c:pt idx="217">
                  <c:v>40.799141987306072</c:v>
                </c:pt>
                <c:pt idx="218">
                  <c:v>40.798953829053843</c:v>
                </c:pt>
                <c:pt idx="219">
                  <c:v>40.798772588223031</c:v>
                </c:pt>
                <c:pt idx="220">
                  <c:v>40.798598017665157</c:v>
                </c:pt>
                <c:pt idx="221">
                  <c:v>40.798429878685056</c:v>
                </c:pt>
                <c:pt idx="222">
                  <c:v>40.798267940772163</c:v>
                </c:pt>
                <c:pt idx="223">
                  <c:v>40.798111981339183</c:v>
                </c:pt>
                <c:pt idx="224">
                  <c:v>40.797961785467983</c:v>
                </c:pt>
                <c:pt idx="225">
                  <c:v>40.797817145662655</c:v>
                </c:pt>
                <c:pt idx="226">
                  <c:v>40.797677861609529</c:v>
                </c:pt>
                <c:pt idx="227">
                  <c:v>40.797543739944039</c:v>
                </c:pt>
                <c:pt idx="228">
                  <c:v>40.797414594024296</c:v>
                </c:pt>
                <c:pt idx="229">
                  <c:v>40.79729024371121</c:v>
                </c:pt>
                <c:pt idx="230">
                  <c:v>40.797170515155038</c:v>
                </c:pt>
                <c:pt idx="231">
                  <c:v>40.797055240588222</c:v>
                </c:pt>
                <c:pt idx="232">
                  <c:v>40.796944258124334</c:v>
                </c:pt>
                <c:pt idx="233">
                  <c:v>40.796837411563068</c:v>
                </c:pt>
                <c:pt idx="234">
                  <c:v>40.796734550201016</c:v>
                </c:pt>
                <c:pt idx="235">
                  <c:v>40.796635528648224</c:v>
                </c:pt>
                <c:pt idx="236">
                  <c:v>40.796540206650285</c:v>
                </c:pt>
                <c:pt idx="237">
                  <c:v>40.796448448915875</c:v>
                </c:pt>
                <c:pt idx="238">
                  <c:v>40.796360124949615</c:v>
                </c:pt>
                <c:pt idx="239">
                  <c:v>40.796275108890057</c:v>
                </c:pt>
                <c:pt idx="240">
                  <c:v>40.796193279352742</c:v>
                </c:pt>
                <c:pt idx="241">
                  <c:v>40.796114519278149</c:v>
                </c:pt>
                <c:pt idx="242">
                  <c:v>40.796038715784405</c:v>
                </c:pt>
                <c:pt idx="243">
                  <c:v>40.795965760024657</c:v>
                </c:pt>
                <c:pt idx="244">
                  <c:v>40.795895547048943</c:v>
                </c:pt>
                <c:pt idx="245">
                  <c:v>40.795827975670498</c:v>
                </c:pt>
                <c:pt idx="246">
                  <c:v>40.795762948336289</c:v>
                </c:pt>
                <c:pt idx="247">
                  <c:v>40.795700371001722</c:v>
                </c:pt>
                <c:pt idx="248">
                  <c:v>40.795640153009423</c:v>
                </c:pt>
                <c:pt idx="249">
                  <c:v>40.795582206971879</c:v>
                </c:pt>
                <c:pt idx="250">
                  <c:v>40.795526448657959</c:v>
                </c:pt>
                <c:pt idx="251">
                  <c:v>40.795472796883089</c:v>
                </c:pt>
                <c:pt idx="252">
                  <c:v>40.795421173403042</c:v>
                </c:pt>
                <c:pt idx="253">
                  <c:v>40.795371502811207</c:v>
                </c:pt>
                <c:pt idx="254">
                  <c:v>40.795323712439284</c:v>
                </c:pt>
                <c:pt idx="255">
                  <c:v>40.795277732261191</c:v>
                </c:pt>
                <c:pt idx="256">
                  <c:v>40.79523349480025</c:v>
                </c:pt>
                <c:pt idx="257">
                  <c:v>40.795190935039386</c:v>
                </c:pt>
                <c:pt idx="258">
                  <c:v>40.795149990334366</c:v>
                </c:pt>
                <c:pt idx="259">
                  <c:v>40.795110600329956</c:v>
                </c:pt>
                <c:pt idx="260">
                  <c:v>40.795072706878855</c:v>
                </c:pt>
                <c:pt idx="261">
                  <c:v>40.795036253963396</c:v>
                </c:pt>
                <c:pt idx="262">
                  <c:v>40.795001187619889</c:v>
                </c:pt>
                <c:pt idx="263">
                  <c:v>40.794967455865503</c:v>
                </c:pt>
                <c:pt idx="264">
                  <c:v>40.794935008627682</c:v>
                </c:pt>
                <c:pt idx="265">
                  <c:v>40.794903797675907</c:v>
                </c:pt>
                <c:pt idx="266">
                  <c:v>40.794873776555846</c:v>
                </c:pt>
                <c:pt idx="267">
                  <c:v>40.794844900525717</c:v>
                </c:pt>
                <c:pt idx="268">
                  <c:v>40.794817126494856</c:v>
                </c:pt>
                <c:pt idx="269">
                  <c:v>40.794790412964403</c:v>
                </c:pt>
                <c:pt idx="270">
                  <c:v>40.794764719970033</c:v>
                </c:pt>
                <c:pt idx="271">
                  <c:v>40.79474000902664</c:v>
                </c:pt>
                <c:pt idx="272">
                  <c:v>40.79471624307498</c:v>
                </c:pt>
                <c:pt idx="273">
                  <c:v>40.794693386430154</c:v>
                </c:pt>
                <c:pt idx="274">
                  <c:v>40.794671404731858</c:v>
                </c:pt>
                <c:pt idx="275">
                  <c:v>40.794650264896411</c:v>
                </c:pt>
                <c:pt idx="276">
                  <c:v>40.794629935070418</c:v>
                </c:pt>
                <c:pt idx="277">
                  <c:v>40.794610384586086</c:v>
                </c:pt>
                <c:pt idx="278">
                  <c:v>40.794591583918105</c:v>
                </c:pt>
                <c:pt idx="279">
                  <c:v>40.794573504642038</c:v>
                </c:pt>
                <c:pt idx="280">
                  <c:v>40.794556119394166</c:v>
                </c:pt>
                <c:pt idx="281">
                  <c:v>40.794539401832772</c:v>
                </c:pt>
                <c:pt idx="282">
                  <c:v>40.794523326600775</c:v>
                </c:pt>
                <c:pt idx="283">
                  <c:v>40.79450786928971</c:v>
                </c:pt>
                <c:pt idx="284">
                  <c:v>40.794493006404977</c:v>
                </c:pt>
                <c:pt idx="285">
                  <c:v>40.794478715332289</c:v>
                </c:pt>
                <c:pt idx="286">
                  <c:v>40.794464974305392</c:v>
                </c:pt>
                <c:pt idx="287">
                  <c:v>40.794451762374855</c:v>
                </c:pt>
                <c:pt idx="288">
                  <c:v>40.794439059378028</c:v>
                </c:pt>
                <c:pt idx="289">
                  <c:v>40.79442684591006</c:v>
                </c:pt>
                <c:pt idx="290">
                  <c:v>40.794415103295947</c:v>
                </c:pt>
                <c:pt idx="291">
                  <c:v>40.794403813563591</c:v>
                </c:pt>
                <c:pt idx="292">
                  <c:v>40.794392959417827</c:v>
                </c:pt>
                <c:pt idx="293">
                  <c:v>40.794382524215393</c:v>
                </c:pt>
                <c:pt idx="294">
                  <c:v>40.794372491940784</c:v>
                </c:pt>
                <c:pt idx="295">
                  <c:v>40.794362847182974</c:v>
                </c:pt>
                <c:pt idx="296">
                  <c:v>40.794353575113028</c:v>
                </c:pt>
                <c:pt idx="297">
                  <c:v>40.794344661462453</c:v>
                </c:pt>
                <c:pt idx="298">
                  <c:v>40.794336092502391</c:v>
                </c:pt>
                <c:pt idx="299">
                  <c:v>40.794327855023546</c:v>
                </c:pt>
                <c:pt idx="300">
                  <c:v>40.794319936316825</c:v>
                </c:pt>
                <c:pt idx="301">
                  <c:v>40.79431232415471</c:v>
                </c:pt>
                <c:pt idx="302">
                  <c:v>40.794305006773307</c:v>
                </c:pt>
                <c:pt idx="303">
                  <c:v>40.794297972855013</c:v>
                </c:pt>
                <c:pt idx="304">
                  <c:v>40.794291211511876</c:v>
                </c:pt>
                <c:pt idx="305">
                  <c:v>40.794284712269508</c:v>
                </c:pt>
                <c:pt idx="306">
                  <c:v>40.794278465051612</c:v>
                </c:pt>
                <c:pt idx="307">
                  <c:v>40.794272460165082</c:v>
                </c:pt>
                <c:pt idx="308">
                  <c:v>40.794266688285646</c:v>
                </c:pt>
                <c:pt idx="309">
                  <c:v>40.794261140444014</c:v>
                </c:pt>
                <c:pt idx="310">
                  <c:v>40.794255808012565</c:v>
                </c:pt>
                <c:pt idx="311">
                  <c:v>40.794250682692514</c:v>
                </c:pt>
                <c:pt idx="312">
                  <c:v>40.794245756501546</c:v>
                </c:pt>
                <c:pt idx="313">
                  <c:v>40.794241021761913</c:v>
                </c:pt>
                <c:pt idx="314">
                  <c:v>40.794236471088965</c:v>
                </c:pt>
                <c:pt idx="315">
                  <c:v>40.794232097380103</c:v>
                </c:pt>
                <c:pt idx="316">
                  <c:v>40.79422789380417</c:v>
                </c:pt>
                <c:pt idx="317">
                  <c:v>40.794223853791166</c:v>
                </c:pt>
                <c:pt idx="318">
                  <c:v>40.794219971022443</c:v>
                </c:pt>
                <c:pt idx="319">
                  <c:v>40.794216239421161</c:v>
                </c:pt>
                <c:pt idx="320">
                  <c:v>40.79421265314317</c:v>
                </c:pt>
                <c:pt idx="321">
                  <c:v>40.794209206568219</c:v>
                </c:pt>
                <c:pt idx="322">
                  <c:v>40.794205894291458</c:v>
                </c:pt>
                <c:pt idx="323">
                  <c:v>40.794202711115297</c:v>
                </c:pt>
                <c:pt idx="324">
                  <c:v>40.794199652041534</c:v>
                </c:pt>
                <c:pt idx="325">
                  <c:v>40.794196712263812</c:v>
                </c:pt>
                <c:pt idx="326">
                  <c:v>40.794193887160326</c:v>
                </c:pt>
                <c:pt idx="327">
                  <c:v>40.794191172286816</c:v>
                </c:pt>
                <c:pt idx="328">
                  <c:v>40.794188563369836</c:v>
                </c:pt>
                <c:pt idx="329">
                  <c:v>40.794186056300248</c:v>
                </c:pt>
                <c:pt idx="330">
                  <c:v>40.794183647126971</c:v>
                </c:pt>
                <c:pt idx="331">
                  <c:v>40.794181332050982</c:v>
                </c:pt>
                <c:pt idx="332">
                  <c:v>40.794179107419502</c:v>
                </c:pt>
                <c:pt idx="333">
                  <c:v>40.794176969720439</c:v>
                </c:pt>
                <c:pt idx="334">
                  <c:v>40.794174915577031</c:v>
                </c:pt>
                <c:pt idx="335">
                  <c:v>40.794172941742673</c:v>
                </c:pt>
                <c:pt idx="336">
                  <c:v>40.794171045095943</c:v>
                </c:pt>
                <c:pt idx="337">
                  <c:v>40.794169222635844</c:v>
                </c:pt>
                <c:pt idx="338">
                  <c:v>40.794167471477188</c:v>
                </c:pt>
                <c:pt idx="339">
                  <c:v>40.794165788846179</c:v>
                </c:pt>
                <c:pt idx="340">
                  <c:v>40.794164172076137</c:v>
                </c:pt>
                <c:pt idx="341">
                  <c:v>40.794162618603416</c:v>
                </c:pt>
                <c:pt idx="342">
                  <c:v>40.794161125963463</c:v>
                </c:pt>
                <c:pt idx="343">
                  <c:v>40.794159691787009</c:v>
                </c:pt>
                <c:pt idx="344">
                  <c:v>40.794158313796423</c:v>
                </c:pt>
                <c:pt idx="345">
                  <c:v>40.794156989802204</c:v>
                </c:pt>
                <c:pt idx="346">
                  <c:v>40.794155717699596</c:v>
                </c:pt>
                <c:pt idx="347">
                  <c:v>40.794154495465335</c:v>
                </c:pt>
                <c:pt idx="348">
                  <c:v>40.794153321154532</c:v>
                </c:pt>
                <c:pt idx="349">
                  <c:v>40.794152192897648</c:v>
                </c:pt>
                <c:pt idx="350">
                  <c:v>40.794151108897609</c:v>
                </c:pt>
                <c:pt idx="351">
                  <c:v>40.794150067427019</c:v>
                </c:pt>
                <c:pt idx="352">
                  <c:v>40.794149066825483</c:v>
                </c:pt>
                <c:pt idx="353">
                  <c:v>40.794148105497015</c:v>
                </c:pt>
                <c:pt idx="354">
                  <c:v>40.794147181907576</c:v>
                </c:pt>
                <c:pt idx="355">
                  <c:v>40.794146294582688</c:v>
                </c:pt>
                <c:pt idx="356">
                  <c:v>40.794145442105126</c:v>
                </c:pt>
                <c:pt idx="357">
                  <c:v>40.794144623112722</c:v>
                </c:pt>
                <c:pt idx="358">
                  <c:v>40.794143836296243</c:v>
                </c:pt>
                <c:pt idx="359">
                  <c:v>40.794143080397347</c:v>
                </c:pt>
                <c:pt idx="360">
                  <c:v>40.79414235420662</c:v>
                </c:pt>
                <c:pt idx="361">
                  <c:v>40.794141656561685</c:v>
                </c:pt>
                <c:pt idx="362">
                  <c:v>40.79414098634539</c:v>
                </c:pt>
                <c:pt idx="363">
                  <c:v>40.794140342484063</c:v>
                </c:pt>
                <c:pt idx="364">
                  <c:v>40.794139723945818</c:v>
                </c:pt>
                <c:pt idx="365">
                  <c:v>40.794139129738966</c:v>
                </c:pt>
                <c:pt idx="366">
                  <c:v>40.794138558910433</c:v>
                </c:pt>
                <c:pt idx="367">
                  <c:v>40.79413801054428</c:v>
                </c:pt>
                <c:pt idx="368">
                  <c:v>40.794137483760267</c:v>
                </c:pt>
                <c:pt idx="369">
                  <c:v>40.794136977712462</c:v>
                </c:pt>
                <c:pt idx="370">
                  <c:v>40.794136491587928</c:v>
                </c:pt>
                <c:pt idx="371">
                  <c:v>40.794136024605429</c:v>
                </c:pt>
                <c:pt idx="372">
                  <c:v>40.794135576014206</c:v>
                </c:pt>
                <c:pt idx="373">
                  <c:v>40.794135145092802</c:v>
                </c:pt>
                <c:pt idx="374">
                  <c:v>40.794134731147928</c:v>
                </c:pt>
                <c:pt idx="375">
                  <c:v>40.794134333513348</c:v>
                </c:pt>
                <c:pt idx="376">
                  <c:v>40.794133951548858</c:v>
                </c:pt>
                <c:pt idx="377">
                  <c:v>40.794133584639262</c:v>
                </c:pt>
                <c:pt idx="378">
                  <c:v>40.794133232193396</c:v>
                </c:pt>
                <c:pt idx="379">
                  <c:v>40.794132893643201</c:v>
                </c:pt>
                <c:pt idx="380">
                  <c:v>40.794132568442826</c:v>
                </c:pt>
                <c:pt idx="381">
                  <c:v>40.794132256067769</c:v>
                </c:pt>
                <c:pt idx="382">
                  <c:v>40.794131956014034</c:v>
                </c:pt>
                <c:pt idx="383">
                  <c:v>40.794131667797345</c:v>
                </c:pt>
                <c:pt idx="384">
                  <c:v>40.794131390952373</c:v>
                </c:pt>
                <c:pt idx="385">
                  <c:v>40.794131125032003</c:v>
                </c:pt>
                <c:pt idx="386">
                  <c:v>40.794130869606626</c:v>
                </c:pt>
                <c:pt idx="387">
                  <c:v>40.794130624263445</c:v>
                </c:pt>
                <c:pt idx="388">
                  <c:v>40.794130388605844</c:v>
                </c:pt>
                <c:pt idx="389">
                  <c:v>40.794130162252735</c:v>
                </c:pt>
                <c:pt idx="390">
                  <c:v>40.794129944837962</c:v>
                </c:pt>
                <c:pt idx="391">
                  <c:v>40.794129736009722</c:v>
                </c:pt>
                <c:pt idx="392">
                  <c:v>40.794129535429995</c:v>
                </c:pt>
                <c:pt idx="393">
                  <c:v>40.794129342774028</c:v>
                </c:pt>
                <c:pt idx="394">
                  <c:v>40.794129157729785</c:v>
                </c:pt>
                <c:pt idx="395">
                  <c:v>40.794128979997474</c:v>
                </c:pt>
                <c:pt idx="396">
                  <c:v>40.79412880928907</c:v>
                </c:pt>
                <c:pt idx="397">
                  <c:v>40.794128645327852</c:v>
                </c:pt>
                <c:pt idx="398">
                  <c:v>40.794128487847949</c:v>
                </c:pt>
                <c:pt idx="399">
                  <c:v>40.794128336593936</c:v>
                </c:pt>
                <c:pt idx="400">
                  <c:v>40.794128191320411</c:v>
                </c:pt>
                <c:pt idx="401">
                  <c:v>40.794128051791603</c:v>
                </c:pt>
                <c:pt idx="402">
                  <c:v>40.794127917781019</c:v>
                </c:pt>
                <c:pt idx="403">
                  <c:v>40.794127789071048</c:v>
                </c:pt>
                <c:pt idx="404">
                  <c:v>40.794127665452628</c:v>
                </c:pt>
                <c:pt idx="405">
                  <c:v>40.79412754672493</c:v>
                </c:pt>
                <c:pt idx="406">
                  <c:v>40.794127432694999</c:v>
                </c:pt>
                <c:pt idx="407">
                  <c:v>40.794127323177477</c:v>
                </c:pt>
                <c:pt idx="408">
                  <c:v>40.794127217994294</c:v>
                </c:pt>
                <c:pt idx="409">
                  <c:v>40.79412711697438</c:v>
                </c:pt>
                <c:pt idx="410">
                  <c:v>40.794127019953393</c:v>
                </c:pt>
                <c:pt idx="411">
                  <c:v>40.794126926773465</c:v>
                </c:pt>
                <c:pt idx="412">
                  <c:v>40.794126837282924</c:v>
                </c:pt>
                <c:pt idx="413">
                  <c:v>40.79412675133608</c:v>
                </c:pt>
                <c:pt idx="414">
                  <c:v>40.79412666879297</c:v>
                </c:pt>
                <c:pt idx="415">
                  <c:v>40.794126589519152</c:v>
                </c:pt>
                <c:pt idx="416">
                  <c:v>40.794126513385464</c:v>
                </c:pt>
                <c:pt idx="417">
                  <c:v>40.794126440267839</c:v>
                </c:pt>
                <c:pt idx="418">
                  <c:v>40.794126370047088</c:v>
                </c:pt>
                <c:pt idx="419">
                  <c:v>40.794126302608731</c:v>
                </c:pt>
                <c:pt idx="420">
                  <c:v>40.794126237842789</c:v>
                </c:pt>
                <c:pt idx="421">
                  <c:v>40.794126175643612</c:v>
                </c:pt>
                <c:pt idx="422">
                  <c:v>40.794126115909727</c:v>
                </c:pt>
                <c:pt idx="423">
                  <c:v>40.794126058543654</c:v>
                </c:pt>
                <c:pt idx="424">
                  <c:v>40.794126003451758</c:v>
                </c:pt>
                <c:pt idx="425">
                  <c:v>40.794125950544093</c:v>
                </c:pt>
                <c:pt idx="426">
                  <c:v>40.794125899734262</c:v>
                </c:pt>
                <c:pt idx="427">
                  <c:v>40.794125850939274</c:v>
                </c:pt>
                <c:pt idx="428">
                  <c:v>40.794125804079407</c:v>
                </c:pt>
                <c:pt idx="429">
                  <c:v>40.794125759078099</c:v>
                </c:pt>
                <c:pt idx="430">
                  <c:v>40.794125715861796</c:v>
                </c:pt>
                <c:pt idx="431">
                  <c:v>40.794125674359854</c:v>
                </c:pt>
                <c:pt idx="432">
                  <c:v>40.794125634504411</c:v>
                </c:pt>
                <c:pt idx="433">
                  <c:v>40.794125596230288</c:v>
                </c:pt>
                <c:pt idx="434">
                  <c:v>40.794125559474878</c:v>
                </c:pt>
                <c:pt idx="435">
                  <c:v>40.79412552417805</c:v>
                </c:pt>
                <c:pt idx="436">
                  <c:v>40.794125490282042</c:v>
                </c:pt>
                <c:pt idx="437">
                  <c:v>40.794125457731383</c:v>
                </c:pt>
                <c:pt idx="438">
                  <c:v>40.794125426472775</c:v>
                </c:pt>
                <c:pt idx="439">
                  <c:v>40.794125396455044</c:v>
                </c:pt>
                <c:pt idx="440">
                  <c:v>40.794125367629029</c:v>
                </c:pt>
                <c:pt idx="441">
                  <c:v>40.794125339947513</c:v>
                </c:pt>
                <c:pt idx="442">
                  <c:v>40.794125313365143</c:v>
                </c:pt>
                <c:pt idx="443">
                  <c:v>40.794125287838362</c:v>
                </c:pt>
                <c:pt idx="444">
                  <c:v>40.794125263325334</c:v>
                </c:pt>
                <c:pt idx="445">
                  <c:v>40.794125239785878</c:v>
                </c:pt>
                <c:pt idx="446">
                  <c:v>40.794125217181403</c:v>
                </c:pt>
                <c:pt idx="447">
                  <c:v>40.794125195474841</c:v>
                </c:pt>
                <c:pt idx="448">
                  <c:v>40.794125174630594</c:v>
                </c:pt>
                <c:pt idx="449">
                  <c:v>40.79412515461447</c:v>
                </c:pt>
                <c:pt idx="450">
                  <c:v>40.794125135393621</c:v>
                </c:pt>
                <c:pt idx="451">
                  <c:v>40.794125116936513</c:v>
                </c:pt>
                <c:pt idx="452">
                  <c:v>40.794125099212856</c:v>
                </c:pt>
                <c:pt idx="453">
                  <c:v>40.794125082193553</c:v>
                </c:pt>
                <c:pt idx="454">
                  <c:v>40.794125065850658</c:v>
                </c:pt>
                <c:pt idx="455">
                  <c:v>40.794125050157341</c:v>
                </c:pt>
                <c:pt idx="456">
                  <c:v>40.794125035087824</c:v>
                </c:pt>
                <c:pt idx="457">
                  <c:v>40.794125020617358</c:v>
                </c:pt>
                <c:pt idx="458">
                  <c:v>40.794125006722169</c:v>
                </c:pt>
                <c:pt idx="459">
                  <c:v>40.794124993379427</c:v>
                </c:pt>
                <c:pt idx="460">
                  <c:v>40.794124980567204</c:v>
                </c:pt>
                <c:pt idx="461">
                  <c:v>40.794124968264441</c:v>
                </c:pt>
                <c:pt idx="462">
                  <c:v>40.794124956450908</c:v>
                </c:pt>
                <c:pt idx="463">
                  <c:v>40.794124945107185</c:v>
                </c:pt>
                <c:pt idx="464">
                  <c:v>40.794124934214622</c:v>
                </c:pt>
                <c:pt idx="465">
                  <c:v>40.794124923755305</c:v>
                </c:pt>
                <c:pt idx="466">
                  <c:v>40.794124913712025</c:v>
                </c:pt>
                <c:pt idx="467">
                  <c:v>40.794124904068262</c:v>
                </c:pt>
                <c:pt idx="468">
                  <c:v>40.794124894808149</c:v>
                </c:pt>
                <c:pt idx="469">
                  <c:v>40.794124885916446</c:v>
                </c:pt>
                <c:pt idx="470">
                  <c:v>40.794124877378515</c:v>
                </c:pt>
                <c:pt idx="471">
                  <c:v>40.794124869180301</c:v>
                </c:pt>
                <c:pt idx="472">
                  <c:v>40.794124861308312</c:v>
                </c:pt>
                <c:pt idx="473">
                  <c:v>40.794124853749587</c:v>
                </c:pt>
                <c:pt idx="474">
                  <c:v>40.794124846491677</c:v>
                </c:pt>
                <c:pt idx="475">
                  <c:v>40.794124839522624</c:v>
                </c:pt>
                <c:pt idx="476">
                  <c:v>40.794124832830953</c:v>
                </c:pt>
                <c:pt idx="477">
                  <c:v>40.794124826405636</c:v>
                </c:pt>
                <c:pt idx="478">
                  <c:v>40.794124820236085</c:v>
                </c:pt>
                <c:pt idx="479">
                  <c:v>40.794124814312141</c:v>
                </c:pt>
                <c:pt idx="480">
                  <c:v>40.794124808624034</c:v>
                </c:pt>
                <c:pt idx="481">
                  <c:v>40.79412480316239</c:v>
                </c:pt>
                <c:pt idx="482">
                  <c:v>40.794124797918201</c:v>
                </c:pt>
                <c:pt idx="483">
                  <c:v>40.794124792882826</c:v>
                </c:pt>
                <c:pt idx="484">
                  <c:v>40.794124788047959</c:v>
                </c:pt>
                <c:pt idx="485">
                  <c:v>40.794124783405628</c:v>
                </c:pt>
                <c:pt idx="486">
                  <c:v>40.794124778948174</c:v>
                </c:pt>
                <c:pt idx="487">
                  <c:v>40.794124774668241</c:v>
                </c:pt>
                <c:pt idx="488">
                  <c:v>40.794124770558774</c:v>
                </c:pt>
                <c:pt idx="489">
                  <c:v>40.794124766612995</c:v>
                </c:pt>
                <c:pt idx="490">
                  <c:v>40.794124762824381</c:v>
                </c:pt>
                <c:pt idx="491">
                  <c:v>40.794124759186687</c:v>
                </c:pt>
                <c:pt idx="492">
                  <c:v>40.794124755693908</c:v>
                </c:pt>
                <c:pt idx="493">
                  <c:v>40.794124752340281</c:v>
                </c:pt>
                <c:pt idx="494">
                  <c:v>40.794124749120265</c:v>
                </c:pt>
                <c:pt idx="495">
                  <c:v>40.794124746028544</c:v>
                </c:pt>
                <c:pt idx="496">
                  <c:v>40.794124743060017</c:v>
                </c:pt>
                <c:pt idx="497">
                  <c:v>40.794124740209774</c:v>
                </c:pt>
                <c:pt idx="498">
                  <c:v>40.794124737473112</c:v>
                </c:pt>
                <c:pt idx="499">
                  <c:v>40.794124734845504</c:v>
                </c:pt>
                <c:pt idx="500">
                  <c:v>40.794124732322615</c:v>
                </c:pt>
                <c:pt idx="501">
                  <c:v>40.794124729900275</c:v>
                </c:pt>
                <c:pt idx="502">
                  <c:v>40.794124727574484</c:v>
                </c:pt>
                <c:pt idx="503">
                  <c:v>40.794124725341398</c:v>
                </c:pt>
                <c:pt idx="504">
                  <c:v>40.794124723197321</c:v>
                </c:pt>
                <c:pt idx="505">
                  <c:v>40.794124721138708</c:v>
                </c:pt>
                <c:pt idx="506">
                  <c:v>40.794124719162163</c:v>
                </c:pt>
                <c:pt idx="507">
                  <c:v>40.794124717264417</c:v>
                </c:pt>
                <c:pt idx="508">
                  <c:v>40.794124715442329</c:v>
                </c:pt>
                <c:pt idx="509">
                  <c:v>40.794124713692881</c:v>
                </c:pt>
                <c:pt idx="510">
                  <c:v>40.794124712013186</c:v>
                </c:pt>
                <c:pt idx="511">
                  <c:v>40.794124710400467</c:v>
                </c:pt>
                <c:pt idx="512">
                  <c:v>40.794124708852053</c:v>
                </c:pt>
                <c:pt idx="513">
                  <c:v>40.794124707365384</c:v>
                </c:pt>
                <c:pt idx="514">
                  <c:v>40.794124705938003</c:v>
                </c:pt>
                <c:pt idx="515">
                  <c:v>40.794124704567544</c:v>
                </c:pt>
                <c:pt idx="516">
                  <c:v>40.79412470325174</c:v>
                </c:pt>
                <c:pt idx="517">
                  <c:v>40.794124701988416</c:v>
                </c:pt>
                <c:pt idx="518">
                  <c:v>40.794124700775477</c:v>
                </c:pt>
                <c:pt idx="519">
                  <c:v>40.794124699610919</c:v>
                </c:pt>
                <c:pt idx="520">
                  <c:v>40.794124698492809</c:v>
                </c:pt>
                <c:pt idx="521">
                  <c:v>40.794124697419299</c:v>
                </c:pt>
                <c:pt idx="522">
                  <c:v>40.794124696388614</c:v>
                </c:pt>
                <c:pt idx="523">
                  <c:v>40.794124695399049</c:v>
                </c:pt>
                <c:pt idx="524">
                  <c:v>40.794124694448961</c:v>
                </c:pt>
                <c:pt idx="525">
                  <c:v>40.79412469353678</c:v>
                </c:pt>
                <c:pt idx="526">
                  <c:v>40.794124692660986</c:v>
                </c:pt>
                <c:pt idx="527">
                  <c:v>40.794124691820137</c:v>
                </c:pt>
                <c:pt idx="528">
                  <c:v>40.79412469101284</c:v>
                </c:pt>
                <c:pt idx="529">
                  <c:v>40.794124690237751</c:v>
                </c:pt>
                <c:pt idx="530">
                  <c:v>40.794124689493593</c:v>
                </c:pt>
                <c:pt idx="531">
                  <c:v>40.794124688779128</c:v>
                </c:pt>
                <c:pt idx="532">
                  <c:v>40.794124688093177</c:v>
                </c:pt>
                <c:pt idx="533">
                  <c:v>40.794124687434604</c:v>
                </c:pt>
                <c:pt idx="534">
                  <c:v>40.794124686802313</c:v>
                </c:pt>
                <c:pt idx="535">
                  <c:v>40.794124686195254</c:v>
                </c:pt>
                <c:pt idx="536">
                  <c:v>40.794124685612424</c:v>
                </c:pt>
                <c:pt idx="537">
                  <c:v>40.794124685052857</c:v>
                </c:pt>
                <c:pt idx="538">
                  <c:v>40.794124684515623</c:v>
                </c:pt>
                <c:pt idx="539">
                  <c:v>40.794124683999833</c:v>
                </c:pt>
                <c:pt idx="540">
                  <c:v>40.794124683504634</c:v>
                </c:pt>
                <c:pt idx="541">
                  <c:v>40.794124683029203</c:v>
                </c:pt>
                <c:pt idx="542">
                  <c:v>40.79412468257275</c:v>
                </c:pt>
                <c:pt idx="543">
                  <c:v>40.794124682134516</c:v>
                </c:pt>
                <c:pt idx="544">
                  <c:v>40.794124681713782</c:v>
                </c:pt>
                <c:pt idx="545">
                  <c:v>40.794124681309846</c:v>
                </c:pt>
                <c:pt idx="546">
                  <c:v>40.794124680922032</c:v>
                </c:pt>
                <c:pt idx="547">
                  <c:v>40.794124680549707</c:v>
                </c:pt>
                <c:pt idx="548">
                  <c:v>40.794124680192247</c:v>
                </c:pt>
                <c:pt idx="549">
                  <c:v>40.794124679849055</c:v>
                </c:pt>
                <c:pt idx="550">
                  <c:v>40.79412467951957</c:v>
                </c:pt>
                <c:pt idx="551">
                  <c:v>40.794124679203243</c:v>
                </c:pt>
                <c:pt idx="552">
                  <c:v>40.794124678899543</c:v>
                </c:pt>
                <c:pt idx="553">
                  <c:v>40.794124678607972</c:v>
                </c:pt>
                <c:pt idx="554">
                  <c:v>40.794124678328046</c:v>
                </c:pt>
                <c:pt idx="555">
                  <c:v>40.794124678059298</c:v>
                </c:pt>
                <c:pt idx="556">
                  <c:v>40.794124677801285</c:v>
                </c:pt>
                <c:pt idx="557">
                  <c:v>40.794124677553576</c:v>
                </c:pt>
                <c:pt idx="558">
                  <c:v>40.794124677315757</c:v>
                </c:pt>
                <c:pt idx="559">
                  <c:v>40.794124677087439</c:v>
                </c:pt>
                <c:pt idx="560">
                  <c:v>40.794124676868243</c:v>
                </c:pt>
                <c:pt idx="561">
                  <c:v>40.794124676657802</c:v>
                </c:pt>
                <c:pt idx="562">
                  <c:v>40.794124676455766</c:v>
                </c:pt>
                <c:pt idx="563">
                  <c:v>40.794124676261795</c:v>
                </c:pt>
                <c:pt idx="564">
                  <c:v>40.794124676075576</c:v>
                </c:pt>
                <c:pt idx="565">
                  <c:v>40.794124675896796</c:v>
                </c:pt>
                <c:pt idx="566">
                  <c:v>40.794124675725158</c:v>
                </c:pt>
                <c:pt idx="567">
                  <c:v>40.794124675560376</c:v>
                </c:pt>
                <c:pt idx="568">
                  <c:v>40.79412467540218</c:v>
                </c:pt>
                <c:pt idx="569">
                  <c:v>40.794124675250302</c:v>
                </c:pt>
                <c:pt idx="570">
                  <c:v>40.794124675104491</c:v>
                </c:pt>
                <c:pt idx="571">
                  <c:v>40.794124674964507</c:v>
                </c:pt>
                <c:pt idx="572">
                  <c:v>40.794124674830115</c:v>
                </c:pt>
                <c:pt idx="573">
                  <c:v>40.794124674701095</c:v>
                </c:pt>
                <c:pt idx="574">
                  <c:v>40.794124674577226</c:v>
                </c:pt>
                <c:pt idx="575">
                  <c:v>40.79412467445831</c:v>
                </c:pt>
                <c:pt idx="576">
                  <c:v>40.79412467434414</c:v>
                </c:pt>
                <c:pt idx="577">
                  <c:v>40.794124674234538</c:v>
                </c:pt>
                <c:pt idx="578">
                  <c:v>40.794124674129314</c:v>
                </c:pt>
                <c:pt idx="579">
                  <c:v>40.794124674028296</c:v>
                </c:pt>
                <c:pt idx="580">
                  <c:v>40.794124673931314</c:v>
                </c:pt>
                <c:pt idx="581">
                  <c:v>40.794124673838205</c:v>
                </c:pt>
                <c:pt idx="582">
                  <c:v>40.794124673748819</c:v>
                </c:pt>
                <c:pt idx="583">
                  <c:v>40.794124673663006</c:v>
                </c:pt>
                <c:pt idx="584">
                  <c:v>40.794124673580619</c:v>
                </c:pt>
                <c:pt idx="585">
                  <c:v>40.794124673501528</c:v>
                </c:pt>
                <c:pt idx="586">
                  <c:v>40.7941246734256</c:v>
                </c:pt>
                <c:pt idx="587">
                  <c:v>40.794124673352705</c:v>
                </c:pt>
                <c:pt idx="588">
                  <c:v>40.794124673282724</c:v>
                </c:pt>
                <c:pt idx="589">
                  <c:v>40.794124673215535</c:v>
                </c:pt>
                <c:pt idx="590">
                  <c:v>40.794124673151032</c:v>
                </c:pt>
                <c:pt idx="591">
                  <c:v>40.794124673089108</c:v>
                </c:pt>
                <c:pt idx="592">
                  <c:v>40.794124673029664</c:v>
                </c:pt>
                <c:pt idx="593">
                  <c:v>40.794124672972593</c:v>
                </c:pt>
                <c:pt idx="594">
                  <c:v>40.794124672917803</c:v>
                </c:pt>
                <c:pt idx="595">
                  <c:v>40.794124672865202</c:v>
                </c:pt>
                <c:pt idx="596">
                  <c:v>40.794124672814704</c:v>
                </c:pt>
                <c:pt idx="597">
                  <c:v>40.79412467276623</c:v>
                </c:pt>
                <c:pt idx="598">
                  <c:v>40.79412467271969</c:v>
                </c:pt>
                <c:pt idx="599">
                  <c:v>40.794124672675011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5C-4AB6-B126-287EA59E8ABF}"/>
            </c:ext>
          </c:extLst>
        </c:ser>
        <c:ser>
          <c:idx val="1"/>
          <c:order val="1"/>
          <c:tx>
            <c:v>Set Point (°C)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Report'!$AU$11:$AU$610</c:f>
              <c:numCache>
                <c:formatCode>General</c:formatCode>
                <c:ptCount val="600"/>
                <c:pt idx="0">
                  <c:v>40.794124671602574</c:v>
                </c:pt>
                <c:pt idx="1">
                  <c:v>40.794124671602574</c:v>
                </c:pt>
                <c:pt idx="2">
                  <c:v>40.794124671602574</c:v>
                </c:pt>
                <c:pt idx="3">
                  <c:v>40.794124671602574</c:v>
                </c:pt>
                <c:pt idx="4">
                  <c:v>40.794124671602574</c:v>
                </c:pt>
                <c:pt idx="5">
                  <c:v>40.794124671602574</c:v>
                </c:pt>
                <c:pt idx="6">
                  <c:v>40.794124671602574</c:v>
                </c:pt>
                <c:pt idx="7">
                  <c:v>40.794124671602574</c:v>
                </c:pt>
                <c:pt idx="8">
                  <c:v>40.794124671602574</c:v>
                </c:pt>
                <c:pt idx="9">
                  <c:v>40.794124671602574</c:v>
                </c:pt>
                <c:pt idx="10">
                  <c:v>40.794124671602574</c:v>
                </c:pt>
                <c:pt idx="11">
                  <c:v>40.794124671602574</c:v>
                </c:pt>
                <c:pt idx="12">
                  <c:v>40.794124671602574</c:v>
                </c:pt>
                <c:pt idx="13">
                  <c:v>40.794124671602574</c:v>
                </c:pt>
                <c:pt idx="14">
                  <c:v>40.794124671602574</c:v>
                </c:pt>
                <c:pt idx="15">
                  <c:v>40.794124671602574</c:v>
                </c:pt>
                <c:pt idx="16">
                  <c:v>40.794124671602574</c:v>
                </c:pt>
                <c:pt idx="17">
                  <c:v>40.794124671602574</c:v>
                </c:pt>
                <c:pt idx="18">
                  <c:v>40.794124671602574</c:v>
                </c:pt>
                <c:pt idx="19">
                  <c:v>40.794124671602574</c:v>
                </c:pt>
                <c:pt idx="20">
                  <c:v>40.794124671602574</c:v>
                </c:pt>
                <c:pt idx="21">
                  <c:v>40.794124671602574</c:v>
                </c:pt>
                <c:pt idx="22">
                  <c:v>40.794124671602574</c:v>
                </c:pt>
                <c:pt idx="23">
                  <c:v>40.794124671602574</c:v>
                </c:pt>
                <c:pt idx="24">
                  <c:v>40.794124671602574</c:v>
                </c:pt>
                <c:pt idx="25">
                  <c:v>40.794124671602574</c:v>
                </c:pt>
                <c:pt idx="26">
                  <c:v>40.794124671602574</c:v>
                </c:pt>
                <c:pt idx="27">
                  <c:v>40.794124671602574</c:v>
                </c:pt>
                <c:pt idx="28">
                  <c:v>40.794124671602574</c:v>
                </c:pt>
                <c:pt idx="29">
                  <c:v>40.794124671602574</c:v>
                </c:pt>
                <c:pt idx="30">
                  <c:v>40.794124671602574</c:v>
                </c:pt>
                <c:pt idx="31">
                  <c:v>40.794124671602574</c:v>
                </c:pt>
                <c:pt idx="32">
                  <c:v>40.794124671602574</c:v>
                </c:pt>
                <c:pt idx="33">
                  <c:v>40.794124671602574</c:v>
                </c:pt>
                <c:pt idx="34">
                  <c:v>40.794124671602574</c:v>
                </c:pt>
                <c:pt idx="35">
                  <c:v>40.794124671602574</c:v>
                </c:pt>
                <c:pt idx="36">
                  <c:v>40.794124671602574</c:v>
                </c:pt>
                <c:pt idx="37">
                  <c:v>40.794124671602574</c:v>
                </c:pt>
                <c:pt idx="38">
                  <c:v>40.794124671602574</c:v>
                </c:pt>
                <c:pt idx="39">
                  <c:v>40.794124671602574</c:v>
                </c:pt>
                <c:pt idx="40">
                  <c:v>40.794124671602574</c:v>
                </c:pt>
                <c:pt idx="41">
                  <c:v>40.794124671602574</c:v>
                </c:pt>
                <c:pt idx="42">
                  <c:v>40.794124671602574</c:v>
                </c:pt>
                <c:pt idx="43">
                  <c:v>40.794124671602574</c:v>
                </c:pt>
                <c:pt idx="44">
                  <c:v>40.794124671602574</c:v>
                </c:pt>
                <c:pt idx="45">
                  <c:v>40.794124671602574</c:v>
                </c:pt>
                <c:pt idx="46">
                  <c:v>40.794124671602574</c:v>
                </c:pt>
                <c:pt idx="47">
                  <c:v>40.794124671602574</c:v>
                </c:pt>
                <c:pt idx="48">
                  <c:v>40.794124671602574</c:v>
                </c:pt>
                <c:pt idx="49">
                  <c:v>40.794124671602574</c:v>
                </c:pt>
                <c:pt idx="50">
                  <c:v>40.794124671602574</c:v>
                </c:pt>
                <c:pt idx="51">
                  <c:v>40.794124671602574</c:v>
                </c:pt>
                <c:pt idx="52">
                  <c:v>40.794124671602574</c:v>
                </c:pt>
                <c:pt idx="53">
                  <c:v>40.794124671602574</c:v>
                </c:pt>
                <c:pt idx="54">
                  <c:v>40.794124671602574</c:v>
                </c:pt>
                <c:pt idx="55">
                  <c:v>40.794124671602574</c:v>
                </c:pt>
                <c:pt idx="56">
                  <c:v>40.794124671602574</c:v>
                </c:pt>
                <c:pt idx="57">
                  <c:v>40.794124671602574</c:v>
                </c:pt>
                <c:pt idx="58">
                  <c:v>40.794124671602574</c:v>
                </c:pt>
                <c:pt idx="59">
                  <c:v>40.794124671602574</c:v>
                </c:pt>
                <c:pt idx="60">
                  <c:v>40.794124671602574</c:v>
                </c:pt>
                <c:pt idx="61">
                  <c:v>40.794124671602574</c:v>
                </c:pt>
                <c:pt idx="62">
                  <c:v>40.794124671602574</c:v>
                </c:pt>
                <c:pt idx="63">
                  <c:v>40.794124671602574</c:v>
                </c:pt>
                <c:pt idx="64">
                  <c:v>40.794124671602574</c:v>
                </c:pt>
                <c:pt idx="65">
                  <c:v>40.794124671602574</c:v>
                </c:pt>
                <c:pt idx="66">
                  <c:v>40.794124671602574</c:v>
                </c:pt>
                <c:pt idx="67">
                  <c:v>40.794124671602574</c:v>
                </c:pt>
                <c:pt idx="68">
                  <c:v>40.794124671602574</c:v>
                </c:pt>
                <c:pt idx="69">
                  <c:v>40.794124671602574</c:v>
                </c:pt>
                <c:pt idx="70">
                  <c:v>40.794124671602574</c:v>
                </c:pt>
                <c:pt idx="71">
                  <c:v>40.794124671602574</c:v>
                </c:pt>
                <c:pt idx="72">
                  <c:v>40.794124671602574</c:v>
                </c:pt>
                <c:pt idx="73">
                  <c:v>40.794124671602574</c:v>
                </c:pt>
                <c:pt idx="74">
                  <c:v>40.794124671602574</c:v>
                </c:pt>
                <c:pt idx="75">
                  <c:v>40.794124671602574</c:v>
                </c:pt>
                <c:pt idx="76">
                  <c:v>40.794124671602574</c:v>
                </c:pt>
                <c:pt idx="77">
                  <c:v>40.794124671602574</c:v>
                </c:pt>
                <c:pt idx="78">
                  <c:v>40.794124671602574</c:v>
                </c:pt>
                <c:pt idx="79">
                  <c:v>40.794124671602574</c:v>
                </c:pt>
                <c:pt idx="80">
                  <c:v>40.794124671602574</c:v>
                </c:pt>
                <c:pt idx="81">
                  <c:v>40.794124671602574</c:v>
                </c:pt>
                <c:pt idx="82">
                  <c:v>40.794124671602574</c:v>
                </c:pt>
                <c:pt idx="83">
                  <c:v>40.794124671602574</c:v>
                </c:pt>
                <c:pt idx="84">
                  <c:v>40.794124671602574</c:v>
                </c:pt>
                <c:pt idx="85">
                  <c:v>40.794124671602574</c:v>
                </c:pt>
                <c:pt idx="86">
                  <c:v>40.794124671602574</c:v>
                </c:pt>
                <c:pt idx="87">
                  <c:v>40.794124671602574</c:v>
                </c:pt>
                <c:pt idx="88">
                  <c:v>40.794124671602574</c:v>
                </c:pt>
                <c:pt idx="89">
                  <c:v>40.794124671602574</c:v>
                </c:pt>
                <c:pt idx="90">
                  <c:v>40.794124671602574</c:v>
                </c:pt>
                <c:pt idx="91">
                  <c:v>40.794124671602574</c:v>
                </c:pt>
                <c:pt idx="92">
                  <c:v>40.794124671602574</c:v>
                </c:pt>
                <c:pt idx="93">
                  <c:v>40.794124671602574</c:v>
                </c:pt>
                <c:pt idx="94">
                  <c:v>40.794124671602574</c:v>
                </c:pt>
                <c:pt idx="95">
                  <c:v>40.794124671602574</c:v>
                </c:pt>
                <c:pt idx="96">
                  <c:v>40.794124671602574</c:v>
                </c:pt>
                <c:pt idx="97">
                  <c:v>40.794124671602574</c:v>
                </c:pt>
                <c:pt idx="98">
                  <c:v>40.794124671602574</c:v>
                </c:pt>
                <c:pt idx="99">
                  <c:v>40.794124671602574</c:v>
                </c:pt>
                <c:pt idx="100">
                  <c:v>40.794124671602574</c:v>
                </c:pt>
                <c:pt idx="101">
                  <c:v>40.794124671602574</c:v>
                </c:pt>
                <c:pt idx="102">
                  <c:v>40.794124671602574</c:v>
                </c:pt>
                <c:pt idx="103">
                  <c:v>40.794124671602574</c:v>
                </c:pt>
                <c:pt idx="104">
                  <c:v>40.794124671602574</c:v>
                </c:pt>
                <c:pt idx="105">
                  <c:v>40.794124671602574</c:v>
                </c:pt>
                <c:pt idx="106">
                  <c:v>40.794124671602574</c:v>
                </c:pt>
                <c:pt idx="107">
                  <c:v>40.794124671602574</c:v>
                </c:pt>
                <c:pt idx="108">
                  <c:v>40.794124671602574</c:v>
                </c:pt>
                <c:pt idx="109">
                  <c:v>40.794124671602574</c:v>
                </c:pt>
                <c:pt idx="110">
                  <c:v>40.794124671602574</c:v>
                </c:pt>
                <c:pt idx="111">
                  <c:v>40.794124671602574</c:v>
                </c:pt>
                <c:pt idx="112">
                  <c:v>40.794124671602574</c:v>
                </c:pt>
                <c:pt idx="113">
                  <c:v>40.794124671602574</c:v>
                </c:pt>
                <c:pt idx="114">
                  <c:v>40.794124671602574</c:v>
                </c:pt>
                <c:pt idx="115">
                  <c:v>40.794124671602574</c:v>
                </c:pt>
                <c:pt idx="116">
                  <c:v>40.794124671602574</c:v>
                </c:pt>
                <c:pt idx="117">
                  <c:v>40.794124671602574</c:v>
                </c:pt>
                <c:pt idx="118">
                  <c:v>40.794124671602574</c:v>
                </c:pt>
                <c:pt idx="119">
                  <c:v>40.794124671602574</c:v>
                </c:pt>
                <c:pt idx="120">
                  <c:v>40.794124671602574</c:v>
                </c:pt>
                <c:pt idx="121">
                  <c:v>40.794124671602574</c:v>
                </c:pt>
                <c:pt idx="122">
                  <c:v>40.794124671602574</c:v>
                </c:pt>
                <c:pt idx="123">
                  <c:v>40.794124671602574</c:v>
                </c:pt>
                <c:pt idx="124">
                  <c:v>40.794124671602574</c:v>
                </c:pt>
                <c:pt idx="125">
                  <c:v>40.794124671602574</c:v>
                </c:pt>
                <c:pt idx="126">
                  <c:v>40.794124671602574</c:v>
                </c:pt>
                <c:pt idx="127">
                  <c:v>40.794124671602574</c:v>
                </c:pt>
                <c:pt idx="128">
                  <c:v>40.794124671602574</c:v>
                </c:pt>
                <c:pt idx="129">
                  <c:v>40.794124671602574</c:v>
                </c:pt>
                <c:pt idx="130">
                  <c:v>40.794124671602574</c:v>
                </c:pt>
                <c:pt idx="131">
                  <c:v>40.794124671602574</c:v>
                </c:pt>
                <c:pt idx="132">
                  <c:v>40.794124671602574</c:v>
                </c:pt>
                <c:pt idx="133">
                  <c:v>40.794124671602574</c:v>
                </c:pt>
                <c:pt idx="134">
                  <c:v>40.794124671602574</c:v>
                </c:pt>
                <c:pt idx="135">
                  <c:v>40.794124671602574</c:v>
                </c:pt>
                <c:pt idx="136">
                  <c:v>40.794124671602574</c:v>
                </c:pt>
                <c:pt idx="137">
                  <c:v>40.794124671602574</c:v>
                </c:pt>
                <c:pt idx="138">
                  <c:v>40.794124671602574</c:v>
                </c:pt>
                <c:pt idx="139">
                  <c:v>40.794124671602574</c:v>
                </c:pt>
                <c:pt idx="140">
                  <c:v>40.794124671602574</c:v>
                </c:pt>
                <c:pt idx="141">
                  <c:v>40.794124671602574</c:v>
                </c:pt>
                <c:pt idx="142">
                  <c:v>40.794124671602574</c:v>
                </c:pt>
                <c:pt idx="143">
                  <c:v>40.794124671602574</c:v>
                </c:pt>
                <c:pt idx="144">
                  <c:v>40.794124671602574</c:v>
                </c:pt>
                <c:pt idx="145">
                  <c:v>40.794124671602574</c:v>
                </c:pt>
                <c:pt idx="146">
                  <c:v>40.794124671602574</c:v>
                </c:pt>
                <c:pt idx="147">
                  <c:v>40.794124671602574</c:v>
                </c:pt>
                <c:pt idx="148">
                  <c:v>40.794124671602574</c:v>
                </c:pt>
                <c:pt idx="149">
                  <c:v>40.794124671602574</c:v>
                </c:pt>
                <c:pt idx="150">
                  <c:v>40.794124671602574</c:v>
                </c:pt>
                <c:pt idx="151">
                  <c:v>40.794124671602574</c:v>
                </c:pt>
                <c:pt idx="152">
                  <c:v>40.794124671602574</c:v>
                </c:pt>
                <c:pt idx="153">
                  <c:v>40.794124671602574</c:v>
                </c:pt>
                <c:pt idx="154">
                  <c:v>40.794124671602574</c:v>
                </c:pt>
                <c:pt idx="155">
                  <c:v>40.794124671602574</c:v>
                </c:pt>
                <c:pt idx="156">
                  <c:v>40.794124671602574</c:v>
                </c:pt>
                <c:pt idx="157">
                  <c:v>40.794124671602574</c:v>
                </c:pt>
                <c:pt idx="158">
                  <c:v>40.794124671602574</c:v>
                </c:pt>
                <c:pt idx="159">
                  <c:v>40.794124671602574</c:v>
                </c:pt>
                <c:pt idx="160">
                  <c:v>40.794124671602574</c:v>
                </c:pt>
                <c:pt idx="161">
                  <c:v>40.794124671602574</c:v>
                </c:pt>
                <c:pt idx="162">
                  <c:v>40.794124671602574</c:v>
                </c:pt>
                <c:pt idx="163">
                  <c:v>40.794124671602574</c:v>
                </c:pt>
                <c:pt idx="164">
                  <c:v>40.794124671602574</c:v>
                </c:pt>
                <c:pt idx="165">
                  <c:v>40.794124671602574</c:v>
                </c:pt>
                <c:pt idx="166">
                  <c:v>40.794124671602574</c:v>
                </c:pt>
                <c:pt idx="167">
                  <c:v>40.794124671602574</c:v>
                </c:pt>
                <c:pt idx="168">
                  <c:v>40.794124671602574</c:v>
                </c:pt>
                <c:pt idx="169">
                  <c:v>40.794124671602574</c:v>
                </c:pt>
                <c:pt idx="170">
                  <c:v>40.794124671602574</c:v>
                </c:pt>
                <c:pt idx="171">
                  <c:v>40.794124671602574</c:v>
                </c:pt>
                <c:pt idx="172">
                  <c:v>40.794124671602574</c:v>
                </c:pt>
                <c:pt idx="173">
                  <c:v>40.794124671602574</c:v>
                </c:pt>
                <c:pt idx="174">
                  <c:v>40.794124671602574</c:v>
                </c:pt>
                <c:pt idx="175">
                  <c:v>40.794124671602574</c:v>
                </c:pt>
                <c:pt idx="176">
                  <c:v>40.794124671602574</c:v>
                </c:pt>
                <c:pt idx="177">
                  <c:v>40.794124671602574</c:v>
                </c:pt>
                <c:pt idx="178">
                  <c:v>40.794124671602574</c:v>
                </c:pt>
                <c:pt idx="179">
                  <c:v>40.794124671602574</c:v>
                </c:pt>
                <c:pt idx="180">
                  <c:v>40.794124671602574</c:v>
                </c:pt>
                <c:pt idx="181">
                  <c:v>40.794124671602574</c:v>
                </c:pt>
                <c:pt idx="182">
                  <c:v>40.794124671602574</c:v>
                </c:pt>
                <c:pt idx="183">
                  <c:v>40.794124671602574</c:v>
                </c:pt>
                <c:pt idx="184">
                  <c:v>40.794124671602574</c:v>
                </c:pt>
                <c:pt idx="185">
                  <c:v>40.794124671602574</c:v>
                </c:pt>
                <c:pt idx="186">
                  <c:v>40.794124671602574</c:v>
                </c:pt>
                <c:pt idx="187">
                  <c:v>40.794124671602574</c:v>
                </c:pt>
                <c:pt idx="188">
                  <c:v>40.794124671602574</c:v>
                </c:pt>
                <c:pt idx="189">
                  <c:v>40.794124671602574</c:v>
                </c:pt>
                <c:pt idx="190">
                  <c:v>40.794124671602574</c:v>
                </c:pt>
                <c:pt idx="191">
                  <c:v>40.794124671602574</c:v>
                </c:pt>
                <c:pt idx="192">
                  <c:v>40.794124671602574</c:v>
                </c:pt>
                <c:pt idx="193">
                  <c:v>40.794124671602574</c:v>
                </c:pt>
                <c:pt idx="194">
                  <c:v>40.794124671602574</c:v>
                </c:pt>
                <c:pt idx="195">
                  <c:v>40.794124671602574</c:v>
                </c:pt>
                <c:pt idx="196">
                  <c:v>40.794124671602574</c:v>
                </c:pt>
                <c:pt idx="197">
                  <c:v>40.794124671602574</c:v>
                </c:pt>
                <c:pt idx="198">
                  <c:v>40.794124671602574</c:v>
                </c:pt>
                <c:pt idx="199">
                  <c:v>40.794124671602574</c:v>
                </c:pt>
                <c:pt idx="200">
                  <c:v>40.794124671602574</c:v>
                </c:pt>
                <c:pt idx="201">
                  <c:v>40.794124671602574</c:v>
                </c:pt>
                <c:pt idx="202">
                  <c:v>40.794124671602574</c:v>
                </c:pt>
                <c:pt idx="203">
                  <c:v>40.794124671602574</c:v>
                </c:pt>
                <c:pt idx="204">
                  <c:v>40.794124671602574</c:v>
                </c:pt>
                <c:pt idx="205">
                  <c:v>40.794124671602574</c:v>
                </c:pt>
                <c:pt idx="206">
                  <c:v>40.794124671602574</c:v>
                </c:pt>
                <c:pt idx="207">
                  <c:v>40.794124671602574</c:v>
                </c:pt>
                <c:pt idx="208">
                  <c:v>40.794124671602574</c:v>
                </c:pt>
                <c:pt idx="209">
                  <c:v>40.794124671602574</c:v>
                </c:pt>
                <c:pt idx="210">
                  <c:v>40.794124671602574</c:v>
                </c:pt>
                <c:pt idx="211">
                  <c:v>40.794124671602574</c:v>
                </c:pt>
                <c:pt idx="212">
                  <c:v>40.794124671602574</c:v>
                </c:pt>
                <c:pt idx="213">
                  <c:v>40.794124671602574</c:v>
                </c:pt>
                <c:pt idx="214">
                  <c:v>40.794124671602574</c:v>
                </c:pt>
                <c:pt idx="215">
                  <c:v>40.794124671602574</c:v>
                </c:pt>
                <c:pt idx="216">
                  <c:v>40.794124671602574</c:v>
                </c:pt>
                <c:pt idx="217">
                  <c:v>40.794124671602574</c:v>
                </c:pt>
                <c:pt idx="218">
                  <c:v>40.794124671602574</c:v>
                </c:pt>
                <c:pt idx="219">
                  <c:v>40.794124671602574</c:v>
                </c:pt>
                <c:pt idx="220">
                  <c:v>40.794124671602574</c:v>
                </c:pt>
                <c:pt idx="221">
                  <c:v>40.794124671602574</c:v>
                </c:pt>
                <c:pt idx="222">
                  <c:v>40.794124671602574</c:v>
                </c:pt>
                <c:pt idx="223">
                  <c:v>40.794124671602574</c:v>
                </c:pt>
                <c:pt idx="224">
                  <c:v>40.794124671602574</c:v>
                </c:pt>
                <c:pt idx="225">
                  <c:v>40.794124671602574</c:v>
                </c:pt>
                <c:pt idx="226">
                  <c:v>40.794124671602574</c:v>
                </c:pt>
                <c:pt idx="227">
                  <c:v>40.794124671602574</c:v>
                </c:pt>
                <c:pt idx="228">
                  <c:v>40.794124671602574</c:v>
                </c:pt>
                <c:pt idx="229">
                  <c:v>40.794124671602574</c:v>
                </c:pt>
                <c:pt idx="230">
                  <c:v>40.794124671602574</c:v>
                </c:pt>
                <c:pt idx="231">
                  <c:v>40.794124671602574</c:v>
                </c:pt>
                <c:pt idx="232">
                  <c:v>40.794124671602574</c:v>
                </c:pt>
                <c:pt idx="233">
                  <c:v>40.794124671602574</c:v>
                </c:pt>
                <c:pt idx="234">
                  <c:v>40.794124671602574</c:v>
                </c:pt>
                <c:pt idx="235">
                  <c:v>40.794124671602574</c:v>
                </c:pt>
                <c:pt idx="236">
                  <c:v>40.794124671602574</c:v>
                </c:pt>
                <c:pt idx="237">
                  <c:v>40.794124671602574</c:v>
                </c:pt>
                <c:pt idx="238">
                  <c:v>40.794124671602574</c:v>
                </c:pt>
                <c:pt idx="239">
                  <c:v>40.794124671602574</c:v>
                </c:pt>
                <c:pt idx="240">
                  <c:v>40.794124671602574</c:v>
                </c:pt>
                <c:pt idx="241">
                  <c:v>40.794124671602574</c:v>
                </c:pt>
                <c:pt idx="242">
                  <c:v>40.794124671602574</c:v>
                </c:pt>
                <c:pt idx="243">
                  <c:v>40.794124671602574</c:v>
                </c:pt>
                <c:pt idx="244">
                  <c:v>40.794124671602574</c:v>
                </c:pt>
                <c:pt idx="245">
                  <c:v>40.794124671602574</c:v>
                </c:pt>
                <c:pt idx="246">
                  <c:v>40.794124671602574</c:v>
                </c:pt>
                <c:pt idx="247">
                  <c:v>40.794124671602574</c:v>
                </c:pt>
                <c:pt idx="248">
                  <c:v>40.794124671602574</c:v>
                </c:pt>
                <c:pt idx="249">
                  <c:v>40.794124671602574</c:v>
                </c:pt>
                <c:pt idx="250">
                  <c:v>40.794124671602574</c:v>
                </c:pt>
                <c:pt idx="251">
                  <c:v>40.794124671602574</c:v>
                </c:pt>
                <c:pt idx="252">
                  <c:v>40.794124671602574</c:v>
                </c:pt>
                <c:pt idx="253">
                  <c:v>40.794124671602574</c:v>
                </c:pt>
                <c:pt idx="254">
                  <c:v>40.794124671602574</c:v>
                </c:pt>
                <c:pt idx="255">
                  <c:v>40.794124671602574</c:v>
                </c:pt>
                <c:pt idx="256">
                  <c:v>40.794124671602574</c:v>
                </c:pt>
                <c:pt idx="257">
                  <c:v>40.794124671602574</c:v>
                </c:pt>
                <c:pt idx="258">
                  <c:v>40.794124671602574</c:v>
                </c:pt>
                <c:pt idx="259">
                  <c:v>40.794124671602574</c:v>
                </c:pt>
                <c:pt idx="260">
                  <c:v>40.794124671602574</c:v>
                </c:pt>
                <c:pt idx="261">
                  <c:v>40.794124671602574</c:v>
                </c:pt>
                <c:pt idx="262">
                  <c:v>40.794124671602574</c:v>
                </c:pt>
                <c:pt idx="263">
                  <c:v>40.794124671602574</c:v>
                </c:pt>
                <c:pt idx="264">
                  <c:v>40.794124671602574</c:v>
                </c:pt>
                <c:pt idx="265">
                  <c:v>40.794124671602574</c:v>
                </c:pt>
                <c:pt idx="266">
                  <c:v>40.794124671602574</c:v>
                </c:pt>
                <c:pt idx="267">
                  <c:v>40.794124671602574</c:v>
                </c:pt>
                <c:pt idx="268">
                  <c:v>40.794124671602574</c:v>
                </c:pt>
                <c:pt idx="269">
                  <c:v>40.794124671602574</c:v>
                </c:pt>
                <c:pt idx="270">
                  <c:v>40.794124671602574</c:v>
                </c:pt>
                <c:pt idx="271">
                  <c:v>40.794124671602574</c:v>
                </c:pt>
                <c:pt idx="272">
                  <c:v>40.794124671602574</c:v>
                </c:pt>
                <c:pt idx="273">
                  <c:v>40.794124671602574</c:v>
                </c:pt>
                <c:pt idx="274">
                  <c:v>40.794124671602574</c:v>
                </c:pt>
                <c:pt idx="275">
                  <c:v>40.794124671602574</c:v>
                </c:pt>
                <c:pt idx="276">
                  <c:v>40.794124671602574</c:v>
                </c:pt>
                <c:pt idx="277">
                  <c:v>40.794124671602574</c:v>
                </c:pt>
                <c:pt idx="278">
                  <c:v>40.794124671602574</c:v>
                </c:pt>
                <c:pt idx="279">
                  <c:v>40.794124671602574</c:v>
                </c:pt>
                <c:pt idx="280">
                  <c:v>40.794124671602574</c:v>
                </c:pt>
                <c:pt idx="281">
                  <c:v>40.794124671602574</c:v>
                </c:pt>
                <c:pt idx="282">
                  <c:v>40.794124671602574</c:v>
                </c:pt>
                <c:pt idx="283">
                  <c:v>40.794124671602574</c:v>
                </c:pt>
                <c:pt idx="284">
                  <c:v>40.794124671602574</c:v>
                </c:pt>
                <c:pt idx="285">
                  <c:v>40.794124671602574</c:v>
                </c:pt>
                <c:pt idx="286">
                  <c:v>40.794124671602574</c:v>
                </c:pt>
                <c:pt idx="287">
                  <c:v>40.794124671602574</c:v>
                </c:pt>
                <c:pt idx="288">
                  <c:v>40.794124671602574</c:v>
                </c:pt>
                <c:pt idx="289">
                  <c:v>40.794124671602574</c:v>
                </c:pt>
                <c:pt idx="290">
                  <c:v>40.794124671602574</c:v>
                </c:pt>
                <c:pt idx="291">
                  <c:v>40.794124671602574</c:v>
                </c:pt>
                <c:pt idx="292">
                  <c:v>40.794124671602574</c:v>
                </c:pt>
                <c:pt idx="293">
                  <c:v>40.794124671602574</c:v>
                </c:pt>
                <c:pt idx="294">
                  <c:v>40.794124671602574</c:v>
                </c:pt>
                <c:pt idx="295">
                  <c:v>40.794124671602574</c:v>
                </c:pt>
                <c:pt idx="296">
                  <c:v>40.794124671602574</c:v>
                </c:pt>
                <c:pt idx="297">
                  <c:v>40.794124671602574</c:v>
                </c:pt>
                <c:pt idx="298">
                  <c:v>40.794124671602574</c:v>
                </c:pt>
                <c:pt idx="299">
                  <c:v>40.794124671602574</c:v>
                </c:pt>
                <c:pt idx="300">
                  <c:v>40.794124671602574</c:v>
                </c:pt>
                <c:pt idx="301">
                  <c:v>40.794124671602574</c:v>
                </c:pt>
                <c:pt idx="302">
                  <c:v>40.794124671602574</c:v>
                </c:pt>
                <c:pt idx="303">
                  <c:v>40.794124671602574</c:v>
                </c:pt>
                <c:pt idx="304">
                  <c:v>40.794124671602574</c:v>
                </c:pt>
                <c:pt idx="305">
                  <c:v>40.794124671602574</c:v>
                </c:pt>
                <c:pt idx="306">
                  <c:v>40.794124671602574</c:v>
                </c:pt>
                <c:pt idx="307">
                  <c:v>40.794124671602574</c:v>
                </c:pt>
                <c:pt idx="308">
                  <c:v>40.794124671602574</c:v>
                </c:pt>
                <c:pt idx="309">
                  <c:v>40.794124671602574</c:v>
                </c:pt>
                <c:pt idx="310">
                  <c:v>40.794124671602574</c:v>
                </c:pt>
                <c:pt idx="311">
                  <c:v>40.794124671602574</c:v>
                </c:pt>
                <c:pt idx="312">
                  <c:v>40.794124671602574</c:v>
                </c:pt>
                <c:pt idx="313">
                  <c:v>40.794124671602574</c:v>
                </c:pt>
                <c:pt idx="314">
                  <c:v>40.794124671602574</c:v>
                </c:pt>
                <c:pt idx="315">
                  <c:v>40.794124671602574</c:v>
                </c:pt>
                <c:pt idx="316">
                  <c:v>40.794124671602574</c:v>
                </c:pt>
                <c:pt idx="317">
                  <c:v>40.794124671602574</c:v>
                </c:pt>
                <c:pt idx="318">
                  <c:v>40.794124671602574</c:v>
                </c:pt>
                <c:pt idx="319">
                  <c:v>40.794124671602574</c:v>
                </c:pt>
                <c:pt idx="320">
                  <c:v>40.794124671602574</c:v>
                </c:pt>
                <c:pt idx="321">
                  <c:v>40.794124671602574</c:v>
                </c:pt>
                <c:pt idx="322">
                  <c:v>40.794124671602574</c:v>
                </c:pt>
                <c:pt idx="323">
                  <c:v>40.794124671602574</c:v>
                </c:pt>
                <c:pt idx="324">
                  <c:v>40.794124671602574</c:v>
                </c:pt>
                <c:pt idx="325">
                  <c:v>40.794124671602574</c:v>
                </c:pt>
                <c:pt idx="326">
                  <c:v>40.794124671602574</c:v>
                </c:pt>
                <c:pt idx="327">
                  <c:v>40.794124671602574</c:v>
                </c:pt>
                <c:pt idx="328">
                  <c:v>40.794124671602574</c:v>
                </c:pt>
                <c:pt idx="329">
                  <c:v>40.794124671602574</c:v>
                </c:pt>
                <c:pt idx="330">
                  <c:v>40.794124671602574</c:v>
                </c:pt>
                <c:pt idx="331">
                  <c:v>40.794124671602574</c:v>
                </c:pt>
                <c:pt idx="332">
                  <c:v>40.794124671602574</c:v>
                </c:pt>
                <c:pt idx="333">
                  <c:v>40.794124671602574</c:v>
                </c:pt>
                <c:pt idx="334">
                  <c:v>40.794124671602574</c:v>
                </c:pt>
                <c:pt idx="335">
                  <c:v>40.794124671602574</c:v>
                </c:pt>
                <c:pt idx="336">
                  <c:v>40.794124671602574</c:v>
                </c:pt>
                <c:pt idx="337">
                  <c:v>40.794124671602574</c:v>
                </c:pt>
                <c:pt idx="338">
                  <c:v>40.794124671602574</c:v>
                </c:pt>
                <c:pt idx="339">
                  <c:v>40.794124671602574</c:v>
                </c:pt>
                <c:pt idx="340">
                  <c:v>40.794124671602574</c:v>
                </c:pt>
                <c:pt idx="341">
                  <c:v>40.794124671602574</c:v>
                </c:pt>
                <c:pt idx="342">
                  <c:v>40.794124671602574</c:v>
                </c:pt>
                <c:pt idx="343">
                  <c:v>40.794124671602574</c:v>
                </c:pt>
                <c:pt idx="344">
                  <c:v>40.794124671602574</c:v>
                </c:pt>
                <c:pt idx="345">
                  <c:v>40.794124671602574</c:v>
                </c:pt>
                <c:pt idx="346">
                  <c:v>40.794124671602574</c:v>
                </c:pt>
                <c:pt idx="347">
                  <c:v>40.794124671602574</c:v>
                </c:pt>
                <c:pt idx="348">
                  <c:v>40.794124671602574</c:v>
                </c:pt>
                <c:pt idx="349">
                  <c:v>40.794124671602574</c:v>
                </c:pt>
                <c:pt idx="350">
                  <c:v>40.794124671602574</c:v>
                </c:pt>
                <c:pt idx="351">
                  <c:v>40.794124671602574</c:v>
                </c:pt>
                <c:pt idx="352">
                  <c:v>40.794124671602574</c:v>
                </c:pt>
                <c:pt idx="353">
                  <c:v>40.794124671602574</c:v>
                </c:pt>
                <c:pt idx="354">
                  <c:v>40.794124671602574</c:v>
                </c:pt>
                <c:pt idx="355">
                  <c:v>40.794124671602574</c:v>
                </c:pt>
                <c:pt idx="356">
                  <c:v>40.794124671602574</c:v>
                </c:pt>
                <c:pt idx="357">
                  <c:v>40.794124671602574</c:v>
                </c:pt>
                <c:pt idx="358">
                  <c:v>40.794124671602574</c:v>
                </c:pt>
                <c:pt idx="359">
                  <c:v>40.794124671602574</c:v>
                </c:pt>
                <c:pt idx="360">
                  <c:v>40.794124671602574</c:v>
                </c:pt>
                <c:pt idx="361">
                  <c:v>40.794124671602574</c:v>
                </c:pt>
                <c:pt idx="362">
                  <c:v>40.794124671602574</c:v>
                </c:pt>
                <c:pt idx="363">
                  <c:v>40.794124671602574</c:v>
                </c:pt>
                <c:pt idx="364">
                  <c:v>40.794124671602574</c:v>
                </c:pt>
                <c:pt idx="365">
                  <c:v>40.794124671602574</c:v>
                </c:pt>
                <c:pt idx="366">
                  <c:v>40.794124671602574</c:v>
                </c:pt>
                <c:pt idx="367">
                  <c:v>40.794124671602574</c:v>
                </c:pt>
                <c:pt idx="368">
                  <c:v>40.794124671602574</c:v>
                </c:pt>
                <c:pt idx="369">
                  <c:v>40.794124671602574</c:v>
                </c:pt>
                <c:pt idx="370">
                  <c:v>40.794124671602574</c:v>
                </c:pt>
                <c:pt idx="371">
                  <c:v>40.794124671602574</c:v>
                </c:pt>
                <c:pt idx="372">
                  <c:v>40.794124671602574</c:v>
                </c:pt>
                <c:pt idx="373">
                  <c:v>40.794124671602574</c:v>
                </c:pt>
                <c:pt idx="374">
                  <c:v>40.794124671602574</c:v>
                </c:pt>
                <c:pt idx="375">
                  <c:v>40.794124671602574</c:v>
                </c:pt>
                <c:pt idx="376">
                  <c:v>40.794124671602574</c:v>
                </c:pt>
                <c:pt idx="377">
                  <c:v>40.794124671602574</c:v>
                </c:pt>
                <c:pt idx="378">
                  <c:v>40.794124671602574</c:v>
                </c:pt>
                <c:pt idx="379">
                  <c:v>40.794124671602574</c:v>
                </c:pt>
                <c:pt idx="380">
                  <c:v>40.794124671602574</c:v>
                </c:pt>
                <c:pt idx="381">
                  <c:v>40.794124671602574</c:v>
                </c:pt>
                <c:pt idx="382">
                  <c:v>40.794124671602574</c:v>
                </c:pt>
                <c:pt idx="383">
                  <c:v>40.794124671602574</c:v>
                </c:pt>
                <c:pt idx="384">
                  <c:v>40.794124671602574</c:v>
                </c:pt>
                <c:pt idx="385">
                  <c:v>40.794124671602574</c:v>
                </c:pt>
                <c:pt idx="386">
                  <c:v>40.794124671602574</c:v>
                </c:pt>
                <c:pt idx="387">
                  <c:v>40.794124671602574</c:v>
                </c:pt>
                <c:pt idx="388">
                  <c:v>40.794124671602574</c:v>
                </c:pt>
                <c:pt idx="389">
                  <c:v>40.794124671602574</c:v>
                </c:pt>
                <c:pt idx="390">
                  <c:v>40.794124671602574</c:v>
                </c:pt>
                <c:pt idx="391">
                  <c:v>40.794124671602574</c:v>
                </c:pt>
                <c:pt idx="392">
                  <c:v>40.794124671602574</c:v>
                </c:pt>
                <c:pt idx="393">
                  <c:v>40.794124671602574</c:v>
                </c:pt>
                <c:pt idx="394">
                  <c:v>40.794124671602574</c:v>
                </c:pt>
                <c:pt idx="395">
                  <c:v>40.794124671602574</c:v>
                </c:pt>
                <c:pt idx="396">
                  <c:v>40.794124671602574</c:v>
                </c:pt>
                <c:pt idx="397">
                  <c:v>40.794124671602574</c:v>
                </c:pt>
                <c:pt idx="398">
                  <c:v>40.794124671602574</c:v>
                </c:pt>
                <c:pt idx="399">
                  <c:v>40.794124671602574</c:v>
                </c:pt>
                <c:pt idx="400">
                  <c:v>40.794124671602574</c:v>
                </c:pt>
                <c:pt idx="401">
                  <c:v>40.794124671602574</c:v>
                </c:pt>
                <c:pt idx="402">
                  <c:v>40.794124671602574</c:v>
                </c:pt>
                <c:pt idx="403">
                  <c:v>40.794124671602574</c:v>
                </c:pt>
                <c:pt idx="404">
                  <c:v>40.794124671602574</c:v>
                </c:pt>
                <c:pt idx="405">
                  <c:v>40.794124671602574</c:v>
                </c:pt>
                <c:pt idx="406">
                  <c:v>40.794124671602574</c:v>
                </c:pt>
                <c:pt idx="407">
                  <c:v>40.794124671602574</c:v>
                </c:pt>
                <c:pt idx="408">
                  <c:v>40.794124671602574</c:v>
                </c:pt>
                <c:pt idx="409">
                  <c:v>40.794124671602574</c:v>
                </c:pt>
                <c:pt idx="410">
                  <c:v>40.794124671602574</c:v>
                </c:pt>
                <c:pt idx="411">
                  <c:v>40.794124671602574</c:v>
                </c:pt>
                <c:pt idx="412">
                  <c:v>40.794124671602574</c:v>
                </c:pt>
                <c:pt idx="413">
                  <c:v>40.794124671602574</c:v>
                </c:pt>
                <c:pt idx="414">
                  <c:v>40.794124671602574</c:v>
                </c:pt>
                <c:pt idx="415">
                  <c:v>40.794124671602574</c:v>
                </c:pt>
                <c:pt idx="416">
                  <c:v>40.794124671602574</c:v>
                </c:pt>
                <c:pt idx="417">
                  <c:v>40.794124671602574</c:v>
                </c:pt>
                <c:pt idx="418">
                  <c:v>40.794124671602574</c:v>
                </c:pt>
                <c:pt idx="419">
                  <c:v>40.794124671602574</c:v>
                </c:pt>
                <c:pt idx="420">
                  <c:v>40.794124671602574</c:v>
                </c:pt>
                <c:pt idx="421">
                  <c:v>40.794124671602574</c:v>
                </c:pt>
                <c:pt idx="422">
                  <c:v>40.794124671602574</c:v>
                </c:pt>
                <c:pt idx="423">
                  <c:v>40.794124671602574</c:v>
                </c:pt>
                <c:pt idx="424">
                  <c:v>40.794124671602574</c:v>
                </c:pt>
                <c:pt idx="425">
                  <c:v>40.794124671602574</c:v>
                </c:pt>
                <c:pt idx="426">
                  <c:v>40.794124671602574</c:v>
                </c:pt>
                <c:pt idx="427">
                  <c:v>40.794124671602574</c:v>
                </c:pt>
                <c:pt idx="428">
                  <c:v>40.794124671602574</c:v>
                </c:pt>
                <c:pt idx="429">
                  <c:v>40.794124671602574</c:v>
                </c:pt>
                <c:pt idx="430">
                  <c:v>40.794124671602574</c:v>
                </c:pt>
                <c:pt idx="431">
                  <c:v>40.794124671602574</c:v>
                </c:pt>
                <c:pt idx="432">
                  <c:v>40.794124671602574</c:v>
                </c:pt>
                <c:pt idx="433">
                  <c:v>40.794124671602574</c:v>
                </c:pt>
                <c:pt idx="434">
                  <c:v>40.794124671602574</c:v>
                </c:pt>
                <c:pt idx="435">
                  <c:v>40.794124671602574</c:v>
                </c:pt>
                <c:pt idx="436">
                  <c:v>40.794124671602574</c:v>
                </c:pt>
                <c:pt idx="437">
                  <c:v>40.794124671602574</c:v>
                </c:pt>
                <c:pt idx="438">
                  <c:v>40.794124671602574</c:v>
                </c:pt>
                <c:pt idx="439">
                  <c:v>40.794124671602574</c:v>
                </c:pt>
                <c:pt idx="440">
                  <c:v>40.794124671602574</c:v>
                </c:pt>
                <c:pt idx="441">
                  <c:v>40.794124671602574</c:v>
                </c:pt>
                <c:pt idx="442">
                  <c:v>40.794124671602574</c:v>
                </c:pt>
                <c:pt idx="443">
                  <c:v>40.794124671602574</c:v>
                </c:pt>
                <c:pt idx="444">
                  <c:v>40.794124671602574</c:v>
                </c:pt>
                <c:pt idx="445">
                  <c:v>40.794124671602574</c:v>
                </c:pt>
                <c:pt idx="446">
                  <c:v>40.794124671602574</c:v>
                </c:pt>
                <c:pt idx="447">
                  <c:v>40.794124671602574</c:v>
                </c:pt>
                <c:pt idx="448">
                  <c:v>40.794124671602574</c:v>
                </c:pt>
                <c:pt idx="449">
                  <c:v>40.794124671602574</c:v>
                </c:pt>
                <c:pt idx="450">
                  <c:v>40.794124671602574</c:v>
                </c:pt>
                <c:pt idx="451">
                  <c:v>40.794124671602574</c:v>
                </c:pt>
                <c:pt idx="452">
                  <c:v>40.794124671602574</c:v>
                </c:pt>
                <c:pt idx="453">
                  <c:v>40.794124671602574</c:v>
                </c:pt>
                <c:pt idx="454">
                  <c:v>40.794124671602574</c:v>
                </c:pt>
                <c:pt idx="455">
                  <c:v>40.794124671602574</c:v>
                </c:pt>
                <c:pt idx="456">
                  <c:v>40.794124671602574</c:v>
                </c:pt>
                <c:pt idx="457">
                  <c:v>40.794124671602574</c:v>
                </c:pt>
                <c:pt idx="458">
                  <c:v>40.794124671602574</c:v>
                </c:pt>
                <c:pt idx="459">
                  <c:v>40.794124671602574</c:v>
                </c:pt>
                <c:pt idx="460">
                  <c:v>40.794124671602574</c:v>
                </c:pt>
                <c:pt idx="461">
                  <c:v>40.794124671602574</c:v>
                </c:pt>
                <c:pt idx="462">
                  <c:v>40.794124671602574</c:v>
                </c:pt>
                <c:pt idx="463">
                  <c:v>40.794124671602574</c:v>
                </c:pt>
                <c:pt idx="464">
                  <c:v>40.794124671602574</c:v>
                </c:pt>
                <c:pt idx="465">
                  <c:v>40.794124671602574</c:v>
                </c:pt>
                <c:pt idx="466">
                  <c:v>40.794124671602574</c:v>
                </c:pt>
                <c:pt idx="467">
                  <c:v>40.794124671602574</c:v>
                </c:pt>
                <c:pt idx="468">
                  <c:v>40.794124671602574</c:v>
                </c:pt>
                <c:pt idx="469">
                  <c:v>40.794124671602574</c:v>
                </c:pt>
                <c:pt idx="470">
                  <c:v>40.794124671602574</c:v>
                </c:pt>
                <c:pt idx="471">
                  <c:v>40.794124671602574</c:v>
                </c:pt>
                <c:pt idx="472">
                  <c:v>40.794124671602574</c:v>
                </c:pt>
                <c:pt idx="473">
                  <c:v>40.794124671602574</c:v>
                </c:pt>
                <c:pt idx="474">
                  <c:v>40.794124671602574</c:v>
                </c:pt>
                <c:pt idx="475">
                  <c:v>40.794124671602574</c:v>
                </c:pt>
                <c:pt idx="476">
                  <c:v>40.794124671602574</c:v>
                </c:pt>
                <c:pt idx="477">
                  <c:v>40.794124671602574</c:v>
                </c:pt>
                <c:pt idx="478">
                  <c:v>40.794124671602574</c:v>
                </c:pt>
                <c:pt idx="479">
                  <c:v>40.794124671602574</c:v>
                </c:pt>
                <c:pt idx="480">
                  <c:v>40.794124671602574</c:v>
                </c:pt>
                <c:pt idx="481">
                  <c:v>40.794124671602574</c:v>
                </c:pt>
                <c:pt idx="482">
                  <c:v>40.794124671602574</c:v>
                </c:pt>
                <c:pt idx="483">
                  <c:v>40.794124671602574</c:v>
                </c:pt>
                <c:pt idx="484">
                  <c:v>40.794124671602574</c:v>
                </c:pt>
                <c:pt idx="485">
                  <c:v>40.794124671602574</c:v>
                </c:pt>
                <c:pt idx="486">
                  <c:v>40.794124671602574</c:v>
                </c:pt>
                <c:pt idx="487">
                  <c:v>40.794124671602574</c:v>
                </c:pt>
                <c:pt idx="488">
                  <c:v>40.794124671602574</c:v>
                </c:pt>
                <c:pt idx="489">
                  <c:v>40.794124671602574</c:v>
                </c:pt>
                <c:pt idx="490">
                  <c:v>40.794124671602574</c:v>
                </c:pt>
                <c:pt idx="491">
                  <c:v>40.794124671602574</c:v>
                </c:pt>
                <c:pt idx="492">
                  <c:v>40.794124671602574</c:v>
                </c:pt>
                <c:pt idx="493">
                  <c:v>40.794124671602574</c:v>
                </c:pt>
                <c:pt idx="494">
                  <c:v>40.794124671602574</c:v>
                </c:pt>
                <c:pt idx="495">
                  <c:v>40.794124671602574</c:v>
                </c:pt>
                <c:pt idx="496">
                  <c:v>40.794124671602574</c:v>
                </c:pt>
                <c:pt idx="497">
                  <c:v>40.794124671602574</c:v>
                </c:pt>
                <c:pt idx="498">
                  <c:v>40.794124671602574</c:v>
                </c:pt>
                <c:pt idx="499">
                  <c:v>40.794124671602574</c:v>
                </c:pt>
                <c:pt idx="500">
                  <c:v>40.794124671602574</c:v>
                </c:pt>
                <c:pt idx="501">
                  <c:v>40.794124671602574</c:v>
                </c:pt>
                <c:pt idx="502">
                  <c:v>40.794124671602574</c:v>
                </c:pt>
                <c:pt idx="503">
                  <c:v>40.794124671602574</c:v>
                </c:pt>
                <c:pt idx="504">
                  <c:v>40.794124671602574</c:v>
                </c:pt>
                <c:pt idx="505">
                  <c:v>40.794124671602574</c:v>
                </c:pt>
                <c:pt idx="506">
                  <c:v>40.794124671602574</c:v>
                </c:pt>
                <c:pt idx="507">
                  <c:v>40.794124671602574</c:v>
                </c:pt>
                <c:pt idx="508">
                  <c:v>40.794124671602574</c:v>
                </c:pt>
                <c:pt idx="509">
                  <c:v>40.794124671602574</c:v>
                </c:pt>
                <c:pt idx="510">
                  <c:v>40.794124671602574</c:v>
                </c:pt>
                <c:pt idx="511">
                  <c:v>40.794124671602574</c:v>
                </c:pt>
                <c:pt idx="512">
                  <c:v>40.794124671602574</c:v>
                </c:pt>
                <c:pt idx="513">
                  <c:v>40.794124671602574</c:v>
                </c:pt>
                <c:pt idx="514">
                  <c:v>40.794124671602574</c:v>
                </c:pt>
                <c:pt idx="515">
                  <c:v>40.794124671602574</c:v>
                </c:pt>
                <c:pt idx="516">
                  <c:v>40.794124671602574</c:v>
                </c:pt>
                <c:pt idx="517">
                  <c:v>40.794124671602574</c:v>
                </c:pt>
                <c:pt idx="518">
                  <c:v>40.794124671602574</c:v>
                </c:pt>
                <c:pt idx="519">
                  <c:v>40.794124671602574</c:v>
                </c:pt>
                <c:pt idx="520">
                  <c:v>40.794124671602574</c:v>
                </c:pt>
                <c:pt idx="521">
                  <c:v>40.794124671602574</c:v>
                </c:pt>
                <c:pt idx="522">
                  <c:v>40.794124671602574</c:v>
                </c:pt>
                <c:pt idx="523">
                  <c:v>40.794124671602574</c:v>
                </c:pt>
                <c:pt idx="524">
                  <c:v>40.794124671602574</c:v>
                </c:pt>
                <c:pt idx="525">
                  <c:v>40.794124671602574</c:v>
                </c:pt>
                <c:pt idx="526">
                  <c:v>40.794124671602574</c:v>
                </c:pt>
                <c:pt idx="527">
                  <c:v>40.794124671602574</c:v>
                </c:pt>
                <c:pt idx="528">
                  <c:v>40.794124671602574</c:v>
                </c:pt>
                <c:pt idx="529">
                  <c:v>40.794124671602574</c:v>
                </c:pt>
                <c:pt idx="530">
                  <c:v>40.794124671602574</c:v>
                </c:pt>
                <c:pt idx="531">
                  <c:v>40.794124671602574</c:v>
                </c:pt>
                <c:pt idx="532">
                  <c:v>40.794124671602574</c:v>
                </c:pt>
                <c:pt idx="533">
                  <c:v>40.794124671602574</c:v>
                </c:pt>
                <c:pt idx="534">
                  <c:v>40.794124671602574</c:v>
                </c:pt>
                <c:pt idx="535">
                  <c:v>40.794124671602574</c:v>
                </c:pt>
                <c:pt idx="536">
                  <c:v>40.794124671602574</c:v>
                </c:pt>
                <c:pt idx="537">
                  <c:v>40.794124671602574</c:v>
                </c:pt>
                <c:pt idx="538">
                  <c:v>40.794124671602574</c:v>
                </c:pt>
                <c:pt idx="539">
                  <c:v>40.794124671602574</c:v>
                </c:pt>
                <c:pt idx="540">
                  <c:v>40.794124671602574</c:v>
                </c:pt>
                <c:pt idx="541">
                  <c:v>40.794124671602574</c:v>
                </c:pt>
                <c:pt idx="542">
                  <c:v>40.794124671602574</c:v>
                </c:pt>
                <c:pt idx="543">
                  <c:v>40.794124671602574</c:v>
                </c:pt>
                <c:pt idx="544">
                  <c:v>40.794124671602574</c:v>
                </c:pt>
                <c:pt idx="545">
                  <c:v>40.794124671602574</c:v>
                </c:pt>
                <c:pt idx="546">
                  <c:v>40.794124671602574</c:v>
                </c:pt>
                <c:pt idx="547">
                  <c:v>40.794124671602574</c:v>
                </c:pt>
                <c:pt idx="548">
                  <c:v>40.794124671602574</c:v>
                </c:pt>
                <c:pt idx="549">
                  <c:v>40.794124671602574</c:v>
                </c:pt>
                <c:pt idx="550">
                  <c:v>40.794124671602574</c:v>
                </c:pt>
                <c:pt idx="551">
                  <c:v>40.794124671602574</c:v>
                </c:pt>
                <c:pt idx="552">
                  <c:v>40.794124671602574</c:v>
                </c:pt>
                <c:pt idx="553">
                  <c:v>40.794124671602574</c:v>
                </c:pt>
                <c:pt idx="554">
                  <c:v>40.794124671602574</c:v>
                </c:pt>
                <c:pt idx="555">
                  <c:v>40.794124671602574</c:v>
                </c:pt>
                <c:pt idx="556">
                  <c:v>40.794124671602574</c:v>
                </c:pt>
                <c:pt idx="557">
                  <c:v>40.794124671602574</c:v>
                </c:pt>
                <c:pt idx="558">
                  <c:v>40.794124671602574</c:v>
                </c:pt>
                <c:pt idx="559">
                  <c:v>40.794124671602574</c:v>
                </c:pt>
                <c:pt idx="560">
                  <c:v>40.794124671602574</c:v>
                </c:pt>
                <c:pt idx="561">
                  <c:v>40.794124671602574</c:v>
                </c:pt>
                <c:pt idx="562">
                  <c:v>40.794124671602574</c:v>
                </c:pt>
                <c:pt idx="563">
                  <c:v>40.794124671602574</c:v>
                </c:pt>
                <c:pt idx="564">
                  <c:v>40.794124671602574</c:v>
                </c:pt>
                <c:pt idx="565">
                  <c:v>40.794124671602574</c:v>
                </c:pt>
                <c:pt idx="566">
                  <c:v>40.794124671602574</c:v>
                </c:pt>
                <c:pt idx="567">
                  <c:v>40.794124671602574</c:v>
                </c:pt>
                <c:pt idx="568">
                  <c:v>40.794124671602574</c:v>
                </c:pt>
                <c:pt idx="569">
                  <c:v>40.794124671602574</c:v>
                </c:pt>
                <c:pt idx="570">
                  <c:v>40.794124671602574</c:v>
                </c:pt>
                <c:pt idx="571">
                  <c:v>40.794124671602574</c:v>
                </c:pt>
                <c:pt idx="572">
                  <c:v>40.794124671602574</c:v>
                </c:pt>
                <c:pt idx="573">
                  <c:v>40.794124671602574</c:v>
                </c:pt>
                <c:pt idx="574">
                  <c:v>40.794124671602574</c:v>
                </c:pt>
                <c:pt idx="575">
                  <c:v>40.794124671602574</c:v>
                </c:pt>
                <c:pt idx="576">
                  <c:v>40.794124671602574</c:v>
                </c:pt>
                <c:pt idx="577">
                  <c:v>40.794124671602574</c:v>
                </c:pt>
                <c:pt idx="578">
                  <c:v>40.794124671602574</c:v>
                </c:pt>
                <c:pt idx="579">
                  <c:v>40.794124671602574</c:v>
                </c:pt>
                <c:pt idx="580">
                  <c:v>40.794124671602574</c:v>
                </c:pt>
                <c:pt idx="581">
                  <c:v>40.794124671602574</c:v>
                </c:pt>
                <c:pt idx="582">
                  <c:v>40.794124671602574</c:v>
                </c:pt>
                <c:pt idx="583">
                  <c:v>40.794124671602574</c:v>
                </c:pt>
                <c:pt idx="584">
                  <c:v>40.794124671602574</c:v>
                </c:pt>
                <c:pt idx="585">
                  <c:v>40.794124671602574</c:v>
                </c:pt>
                <c:pt idx="586">
                  <c:v>40.794124671602574</c:v>
                </c:pt>
                <c:pt idx="587">
                  <c:v>40.794124671602574</c:v>
                </c:pt>
                <c:pt idx="588">
                  <c:v>40.794124671602574</c:v>
                </c:pt>
                <c:pt idx="589">
                  <c:v>40.794124671602574</c:v>
                </c:pt>
                <c:pt idx="590">
                  <c:v>40.794124671602574</c:v>
                </c:pt>
                <c:pt idx="591">
                  <c:v>40.794124671602574</c:v>
                </c:pt>
                <c:pt idx="592">
                  <c:v>40.794124671602574</c:v>
                </c:pt>
                <c:pt idx="593">
                  <c:v>40.794124671602574</c:v>
                </c:pt>
                <c:pt idx="594">
                  <c:v>40.794124671602574</c:v>
                </c:pt>
                <c:pt idx="595">
                  <c:v>40.794124671602574</c:v>
                </c:pt>
                <c:pt idx="596">
                  <c:v>40.794124671602574</c:v>
                </c:pt>
                <c:pt idx="597">
                  <c:v>40.794124671602574</c:v>
                </c:pt>
                <c:pt idx="598">
                  <c:v>40.794124671602574</c:v>
                </c:pt>
                <c:pt idx="599">
                  <c:v>40.794124671602574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5C-4AB6-B126-287EA59E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39824"/>
        <c:axId val="417040656"/>
      </c:scatterChart>
      <c:valAx>
        <c:axId val="41703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40656"/>
        <c:crosses val="autoZero"/>
        <c:crossBetween val="midCat"/>
      </c:valAx>
      <c:valAx>
        <c:axId val="417040656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3982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Chart No. 3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Error (1)</c:v>
          </c:tx>
          <c:marker>
            <c:symbol val="none"/>
          </c:marker>
          <c:xVal>
            <c:numRef>
              <c:f>'Loop Report'!$C$11:$C$610</c:f>
              <c:numCache>
                <c:formatCode>General</c:formatCode>
                <c:ptCount val="6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</c:numCache>
            </c:numRef>
          </c:xVal>
          <c:yVal>
            <c:numRef>
              <c:f>'Loop Report'!$AS$11:$AS$610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-4.999999999999716E-4</c:v>
                </c:pt>
                <c:pt idx="52">
                  <c:v>-9.5582517315499164E-4</c:v>
                </c:pt>
                <c:pt idx="53">
                  <c:v>-1.3704110704433959E-3</c:v>
                </c:pt>
                <c:pt idx="54">
                  <c:v>-1.7465193467555906E-3</c:v>
                </c:pt>
                <c:pt idx="55">
                  <c:v>-2.0867474455554457E-3</c:v>
                </c:pt>
                <c:pt idx="56">
                  <c:v>-2.3935377643178411E-3</c:v>
                </c:pt>
                <c:pt idx="57">
                  <c:v>-2.6691863278794871E-3</c:v>
                </c:pt>
                <c:pt idx="58">
                  <c:v>-2.9158509954478971E-3</c:v>
                </c:pt>
                <c:pt idx="59">
                  <c:v>-3.1355592256905851E-3</c:v>
                </c:pt>
                <c:pt idx="60">
                  <c:v>-3.3302154230710102E-3</c:v>
                </c:pt>
                <c:pt idx="61">
                  <c:v>-3.5016078874055266E-3</c:v>
                </c:pt>
                <c:pt idx="62">
                  <c:v>-3.651415387485599E-3</c:v>
                </c:pt>
                <c:pt idx="63">
                  <c:v>-3.7812133785335078E-3</c:v>
                </c:pt>
                <c:pt idx="64">
                  <c:v>-3.8924798822426963E-3</c:v>
                </c:pt>
                <c:pt idx="65">
                  <c:v>-3.9866010471847346E-3</c:v>
                </c:pt>
                <c:pt idx="66">
                  <c:v>-4.0648764064469137E-3</c:v>
                </c:pt>
                <c:pt idx="67">
                  <c:v>-4.1285238484937989E-3</c:v>
                </c:pt>
                <c:pt idx="68">
                  <c:v>-4.1786843164173604E-3</c:v>
                </c:pt>
                <c:pt idx="69">
                  <c:v>-4.2164262499566263E-3</c:v>
                </c:pt>
                <c:pt idx="70">
                  <c:v>-4.2427497839215532E-3</c:v>
                </c:pt>
                <c:pt idx="71">
                  <c:v>-4.2585907159497791E-3</c:v>
                </c:pt>
                <c:pt idx="72">
                  <c:v>-4.2648242558534118E-3</c:v>
                </c:pt>
                <c:pt idx="73">
                  <c:v>-4.2622685681763528E-3</c:v>
                </c:pt>
                <c:pt idx="74">
                  <c:v>-4.2516881189786915E-3</c:v>
                </c:pt>
                <c:pt idx="75">
                  <c:v>-4.2337968372911658E-3</c:v>
                </c:pt>
                <c:pt idx="76">
                  <c:v>-4.20926110113939E-3</c:v>
                </c:pt>
                <c:pt idx="77">
                  <c:v>-4.1787025575204953E-3</c:v>
                </c:pt>
                <c:pt idx="78">
                  <c:v>-4.1427007852261966E-3</c:v>
                </c:pt>
                <c:pt idx="79">
                  <c:v>-4.1017958089413047E-3</c:v>
                </c:pt>
                <c:pt idx="80">
                  <c:v>-4.0564904726055314E-3</c:v>
                </c:pt>
                <c:pt idx="81">
                  <c:v>-4.0072526796097914E-3</c:v>
                </c:pt>
                <c:pt idx="82">
                  <c:v>-3.9545175070002615E-3</c:v>
                </c:pt>
                <c:pt idx="83">
                  <c:v>-3.8986892004874108E-3</c:v>
                </c:pt>
                <c:pt idx="84">
                  <c:v>-3.8401430567017057E-3</c:v>
                </c:pt>
                <c:pt idx="85">
                  <c:v>-3.7792271987973436E-3</c:v>
                </c:pt>
                <c:pt idx="86">
                  <c:v>-3.7162642511859899E-3</c:v>
                </c:pt>
                <c:pt idx="87">
                  <c:v>-3.6515529188768168E-3</c:v>
                </c:pt>
                <c:pt idx="88">
                  <c:v>-3.5853694766113621E-3</c:v>
                </c:pt>
                <c:pt idx="89">
                  <c:v>-3.5179691727074669E-3</c:v>
                </c:pt>
                <c:pt idx="90">
                  <c:v>-3.4495875522665641E-3</c:v>
                </c:pt>
                <c:pt idx="91">
                  <c:v>-3.3804417041530142E-3</c:v>
                </c:pt>
                <c:pt idx="92">
                  <c:v>-3.3107314359202889E-3</c:v>
                </c:pt>
                <c:pt idx="93">
                  <c:v>-3.2406403806373874E-3</c:v>
                </c:pt>
                <c:pt idx="94">
                  <c:v>-3.1703370393595521E-3</c:v>
                </c:pt>
                <c:pt idx="95">
                  <c:v>-3.0999757627873238E-3</c:v>
                </c:pt>
                <c:pt idx="96">
                  <c:v>-3.0296976754701178E-3</c:v>
                </c:pt>
                <c:pt idx="97">
                  <c:v>-2.9596315457315826E-3</c:v>
                </c:pt>
                <c:pt idx="98">
                  <c:v>-2.8898946043239703E-3</c:v>
                </c:pt>
                <c:pt idx="99">
                  <c:v>-2.820593314658666E-3</c:v>
                </c:pt>
                <c:pt idx="100">
                  <c:v>-2.7518240973071783E-3</c:v>
                </c:pt>
                <c:pt idx="101">
                  <c:v>-2.6836740113227366E-3</c:v>
                </c:pt>
                <c:pt idx="102">
                  <c:v>-2.6162213947959856E-3</c:v>
                </c:pt>
                <c:pt idx="103">
                  <c:v>-2.5495364669279041E-3</c:v>
                </c:pt>
                <c:pt idx="104">
                  <c:v>-2.4836818937813377E-3</c:v>
                </c:pt>
                <c:pt idx="105">
                  <c:v>-2.4187133197549572E-3</c:v>
                </c:pt>
                <c:pt idx="106">
                  <c:v>-2.354679866713596E-3</c:v>
                </c:pt>
                <c:pt idx="107">
                  <c:v>-2.2916246026044008E-3</c:v>
                </c:pt>
                <c:pt idx="108">
                  <c:v>-2.2295849812893208E-3</c:v>
                </c:pt>
                <c:pt idx="109">
                  <c:v>-2.1685932552299647E-3</c:v>
                </c:pt>
                <c:pt idx="110">
                  <c:v>-2.1086768625729491E-3</c:v>
                </c:pt>
                <c:pt idx="111">
                  <c:v>-2.0498587900984687E-3</c:v>
                </c:pt>
                <c:pt idx="112">
                  <c:v>-1.9921579134164345E-3</c:v>
                </c:pt>
                <c:pt idx="113">
                  <c:v>-1.9355893157175074E-3</c:v>
                </c:pt>
                <c:pt idx="114">
                  <c:v>-1.8801645863162264E-3</c:v>
                </c:pt>
                <c:pt idx="115">
                  <c:v>-1.8258921001542206E-3</c:v>
                </c:pt>
                <c:pt idx="116">
                  <c:v>-1.7727772793688246E-3</c:v>
                </c:pt>
                <c:pt idx="117">
                  <c:v>-1.7208228379704594E-3</c:v>
                </c:pt>
                <c:pt idx="118">
                  <c:v>-1.670029010615366E-3</c:v>
                </c:pt>
                <c:pt idx="119">
                  <c:v>-1.6203937664052148E-3</c:v>
                </c:pt>
                <c:pt idx="120">
                  <c:v>-1.5719130085939525E-3</c:v>
                </c:pt>
                <c:pt idx="121">
                  <c:v>-1.5245807610338603E-3</c:v>
                </c:pt>
                <c:pt idx="122">
                  <c:v>-1.4783893421453343E-3</c:v>
                </c:pt>
                <c:pt idx="123">
                  <c:v>-1.4333295271524093E-3</c:v>
                </c:pt>
                <c:pt idx="124">
                  <c:v>-1.389390699284121E-3</c:v>
                </c:pt>
                <c:pt idx="125">
                  <c:v>-1.3465609906025834E-3</c:v>
                </c:pt>
                <c:pt idx="126">
                  <c:v>-1.3048274130820659E-3</c:v>
                </c:pt>
                <c:pt idx="127">
                  <c:v>-1.2641759805275398E-3</c:v>
                </c:pt>
                <c:pt idx="128">
                  <c:v>-1.224591821888623E-3</c:v>
                </c:pt>
                <c:pt idx="129">
                  <c:v>-1.1860592864934461E-3</c:v>
                </c:pt>
                <c:pt idx="130">
                  <c:v>-1.1485620416967636E-3</c:v>
                </c:pt>
                <c:pt idx="131">
                  <c:v>-1.112083163409423E-3</c:v>
                </c:pt>
                <c:pt idx="132">
                  <c:v>-1.0766052199485188E-3</c:v>
                </c:pt>
                <c:pt idx="133">
                  <c:v>-1.0421103496238971E-3</c:v>
                </c:pt>
                <c:pt idx="134">
                  <c:v>-1.0085803324516008E-3</c:v>
                </c:pt>
                <c:pt idx="135">
                  <c:v>-9.7599665636373346E-4</c:v>
                </c:pt>
                <c:pt idx="136">
                  <c:v>-9.4434057826141781E-4</c:v>
                </c:pt>
                <c:pt idx="137">
                  <c:v>-9.1359318023911842E-4</c:v>
                </c:pt>
                <c:pt idx="138">
                  <c:v>-8.8373542128834966E-4</c:v>
                </c:pt>
                <c:pt idx="139">
                  <c:v>-8.547481847715943E-4</c:v>
                </c:pt>
                <c:pt idx="140">
                  <c:v>-8.2661232193999008E-4</c:v>
                </c:pt>
                <c:pt idx="141">
                  <c:v>-7.993086917527847E-4</c:v>
                </c:pt>
                <c:pt idx="142">
                  <c:v>-7.7281819724056783E-4</c:v>
                </c:pt>
                <c:pt idx="143">
                  <c:v>-7.4712181864107659E-4</c:v>
                </c:pt>
                <c:pt idx="144">
                  <c:v>-7.2220064352237047E-4</c:v>
                </c:pt>
                <c:pt idx="145">
                  <c:v>-6.9803589409481507E-4</c:v>
                </c:pt>
                <c:pt idx="146">
                  <c:v>-6.7460895190293965E-4</c:v>
                </c:pt>
                <c:pt idx="147">
                  <c:v>-6.519013800748752E-4</c:v>
                </c:pt>
                <c:pt idx="148">
                  <c:v>-6.2989494329826815E-4</c:v>
                </c:pt>
                <c:pt idx="149">
                  <c:v>-6.0857162567948817E-4</c:v>
                </c:pt>
                <c:pt idx="150">
                  <c:v>-5.8791364663548509E-4</c:v>
                </c:pt>
                <c:pt idx="151">
                  <c:v>-5.6790347495713431E-4</c:v>
                </c:pt>
                <c:pt idx="152">
                  <c:v>-5.4852384117452856E-4</c:v>
                </c:pt>
                <c:pt idx="153">
                  <c:v>-5.2975774834770558E-4</c:v>
                </c:pt>
                <c:pt idx="154">
                  <c:v>-5.1158848139735372E-4</c:v>
                </c:pt>
                <c:pt idx="155">
                  <c:v>-4.9399961508441944E-4</c:v>
                </c:pt>
                <c:pt idx="156">
                  <c:v>-4.7697502073880573E-4</c:v>
                </c:pt>
                <c:pt idx="157">
                  <c:v>-4.604988718333658E-4</c:v>
                </c:pt>
                <c:pt idx="158">
                  <c:v>-4.4455564849158689E-4</c:v>
                </c:pt>
                <c:pt idx="159">
                  <c:v>-4.2913014101245042E-4</c:v>
                </c:pt>
                <c:pt idx="160">
                  <c:v>-4.1420745249055814E-4</c:v>
                </c:pt>
                <c:pt idx="161">
                  <c:v>-3.9977300060485278E-4</c:v>
                </c:pt>
                <c:pt idx="162">
                  <c:v>-3.8581251864421517E-4</c:v>
                </c:pt>
                <c:pt idx="163">
                  <c:v>-3.7231205583381665E-4</c:v>
                </c:pt>
                <c:pt idx="164">
                  <c:v>-3.5925797702198283E-4</c:v>
                </c:pt>
                <c:pt idx="165">
                  <c:v>-3.4663696178348856E-4</c:v>
                </c:pt>
                <c:pt idx="166">
                  <c:v>-3.3443600299193577E-4</c:v>
                </c:pt>
                <c:pt idx="167">
                  <c:v>-3.2264240490867733E-4</c:v>
                </c:pt>
                <c:pt idx="168">
                  <c:v>-3.1124378083511315E-4</c:v>
                </c:pt>
                <c:pt idx="169">
                  <c:v>-3.0022805036978184E-4</c:v>
                </c:pt>
                <c:pt idx="170">
                  <c:v>-2.8958343630975492E-4</c:v>
                </c:pt>
                <c:pt idx="171">
                  <c:v>-2.7929846123349479E-4</c:v>
                </c:pt>
                <c:pt idx="172">
                  <c:v>-2.6936194379899802E-4</c:v>
                </c:pt>
                <c:pt idx="173">
                  <c:v>-2.5976299478898569E-4</c:v>
                </c:pt>
                <c:pt idx="174">
                  <c:v>-2.5049101293284082E-4</c:v>
                </c:pt>
                <c:pt idx="175">
                  <c:v>-2.4153568053222329E-4</c:v>
                </c:pt>
                <c:pt idx="176">
                  <c:v>-2.3288695891665156E-4</c:v>
                </c:pt>
                <c:pt idx="177">
                  <c:v>-2.2453508375143373E-4</c:v>
                </c:pt>
                <c:pt idx="178">
                  <c:v>-2.1647056022075617E-4</c:v>
                </c:pt>
                <c:pt idx="179">
                  <c:v>-2.0868415810546993E-4</c:v>
                </c:pt>
                <c:pt idx="180">
                  <c:v>-2.0116690677419058E-4</c:v>
                </c:pt>
                <c:pt idx="181">
                  <c:v>-1.9391009010540471E-4</c:v>
                </c:pt>
                <c:pt idx="182">
                  <c:v>-1.8690524135571706E-4</c:v>
                </c:pt>
                <c:pt idx="183">
                  <c:v>-1.8014413798923102E-4</c:v>
                </c:pt>
                <c:pt idx="184">
                  <c:v>-1.7361879648149171E-4</c:v>
                </c:pt>
                <c:pt idx="185">
                  <c:v>-1.6732146710957352E-4</c:v>
                </c:pt>
                <c:pt idx="186">
                  <c:v>-1.6124462874067547E-4</c:v>
                </c:pt>
                <c:pt idx="187">
                  <c:v>-1.5538098362853249E-4</c:v>
                </c:pt>
                <c:pt idx="188">
                  <c:v>-1.4972345222716399E-4</c:v>
                </c:pt>
                <c:pt idx="189">
                  <c:v>-1.4426516803112577E-4</c:v>
                </c:pt>
                <c:pt idx="190">
                  <c:v>-1.3899947244901511E-4</c:v>
                </c:pt>
                <c:pt idx="191">
                  <c:v>-1.3391990971832967E-4</c:v>
                </c:pt>
                <c:pt idx="192">
                  <c:v>-1.2902022186665364E-4</c:v>
                </c:pt>
                <c:pt idx="193">
                  <c:v>-1.2429434372627669E-4</c:v>
                </c:pt>
                <c:pt idx="194">
                  <c:v>-1.1973639800643809E-4</c:v>
                </c:pt>
                <c:pt idx="195">
                  <c:v>-1.1534069042760109E-4</c:v>
                </c:pt>
                <c:pt idx="196">
                  <c:v>-1.1110170492273141E-4</c:v>
                </c:pt>
                <c:pt idx="197">
                  <c:v>-1.0701409890806701E-4</c:v>
                </c:pt>
                <c:pt idx="198">
                  <c:v>-1.0307269862714464E-4</c:v>
                </c:pt>
                <c:pt idx="199">
                  <c:v>-9.9272494570428198E-5</c:v>
                </c:pt>
                <c:pt idx="200">
                  <c:v>-9.5608636973167906E-5</c:v>
                </c:pt>
                <c:pt idx="201">
                  <c:v>-9.2076431393195435E-5</c:v>
                </c:pt>
                <c:pt idx="202">
                  <c:v>-8.8671334370360452E-5</c:v>
                </c:pt>
                <c:pt idx="203">
                  <c:v>-8.5388949168958562E-5</c:v>
                </c:pt>
                <c:pt idx="204">
                  <c:v>-8.2225021604358513E-5</c:v>
                </c:pt>
                <c:pt idx="205">
                  <c:v>-7.9175435954326187E-5</c:v>
                </c:pt>
                <c:pt idx="206">
                  <c:v>-7.6236210956039943E-5</c:v>
                </c:pt>
                <c:pt idx="207">
                  <c:v>-7.3403495888513251E-5</c:v>
                </c:pt>
                <c:pt idx="208">
                  <c:v>-7.067356674141933E-5</c:v>
                </c:pt>
                <c:pt idx="209">
                  <c:v>-6.8042822469749353E-5</c:v>
                </c:pt>
                <c:pt idx="210">
                  <c:v>-6.5507781334090968E-5</c:v>
                </c:pt>
                <c:pt idx="211">
                  <c:v>-6.306507732645628E-5</c:v>
                </c:pt>
                <c:pt idx="212">
                  <c:v>-6.0711456681019629E-5</c:v>
                </c:pt>
                <c:pt idx="213">
                  <c:v>-5.844377446955207E-5</c:v>
                </c:pt>
                <c:pt idx="214">
                  <c:v>-5.6258991279918294E-5</c:v>
                </c:pt>
                <c:pt idx="215">
                  <c:v>-5.4154169978133379E-5</c:v>
                </c:pt>
                <c:pt idx="216">
                  <c:v>-5.2126472551776716E-5</c:v>
                </c:pt>
                <c:pt idx="217">
                  <c:v>-5.0173157034976157E-5</c:v>
                </c:pt>
                <c:pt idx="218">
                  <c:v>-4.8291574512688842E-5</c:v>
                </c:pt>
                <c:pt idx="219">
                  <c:v>-4.6479166204562713E-5</c:v>
                </c:pt>
                <c:pt idx="220">
                  <c:v>-4.4733460625820954E-5</c:v>
                </c:pt>
                <c:pt idx="221">
                  <c:v>-4.3052070824813883E-5</c:v>
                </c:pt>
                <c:pt idx="222">
                  <c:v>-4.1432691695888479E-5</c:v>
                </c:pt>
                <c:pt idx="223">
                  <c:v>-3.9873097366083243E-5</c:v>
                </c:pt>
                <c:pt idx="224">
                  <c:v>-3.8371138654085259E-5</c:v>
                </c:pt>
                <c:pt idx="225">
                  <c:v>-3.6924740600809968E-5</c:v>
                </c:pt>
                <c:pt idx="226">
                  <c:v>-3.5531900069543097E-5</c:v>
                </c:pt>
                <c:pt idx="227">
                  <c:v>-3.4190683414649927E-5</c:v>
                </c:pt>
                <c:pt idx="228">
                  <c:v>-3.2899224217217694E-5</c:v>
                </c:pt>
                <c:pt idx="229">
                  <c:v>-3.1655721086352176E-5</c:v>
                </c:pt>
                <c:pt idx="230">
                  <c:v>-3.0458435524636228E-5</c:v>
                </c:pt>
                <c:pt idx="231">
                  <c:v>-2.9305689856471418E-5</c:v>
                </c:pt>
                <c:pt idx="232">
                  <c:v>-2.8195865217597316E-5</c:v>
                </c:pt>
                <c:pt idx="233">
                  <c:v>-2.7127399604935933E-5</c:v>
                </c:pt>
                <c:pt idx="234">
                  <c:v>-2.6098785984416396E-5</c:v>
                </c:pt>
                <c:pt idx="235">
                  <c:v>-2.5108570456495725E-5</c:v>
                </c:pt>
                <c:pt idx="236">
                  <c:v>-2.4155350477101932E-5</c:v>
                </c:pt>
                <c:pt idx="237">
                  <c:v>-2.323777313300468E-5</c:v>
                </c:pt>
                <c:pt idx="238">
                  <c:v>-2.2354533470405613E-5</c:v>
                </c:pt>
                <c:pt idx="239">
                  <c:v>-2.1504372874829869E-5</c:v>
                </c:pt>
                <c:pt idx="240">
                  <c:v>-2.068607750167928E-5</c:v>
                </c:pt>
                <c:pt idx="241">
                  <c:v>-1.9898476755741966E-5</c:v>
                </c:pt>
                <c:pt idx="242">
                  <c:v>-1.9140441818308318E-5</c:v>
                </c:pt>
                <c:pt idx="243">
                  <c:v>-1.8410884220827483E-5</c:v>
                </c:pt>
                <c:pt idx="244">
                  <c:v>-1.7708754463683362E-5</c:v>
                </c:pt>
                <c:pt idx="245">
                  <c:v>-1.7033040679237388E-5</c:v>
                </c:pt>
                <c:pt idx="246">
                  <c:v>-1.6382767337148608E-5</c:v>
                </c:pt>
                <c:pt idx="247">
                  <c:v>-1.5756993991473677E-5</c:v>
                </c:pt>
                <c:pt idx="248">
                  <c:v>-1.515481406848096E-5</c:v>
                </c:pt>
                <c:pt idx="249">
                  <c:v>-1.4575353693047078E-5</c:v>
                </c:pt>
                <c:pt idx="250">
                  <c:v>-1.4017770553849118E-5</c:v>
                </c:pt>
                <c:pt idx="251">
                  <c:v>-1.348125280514978E-5</c:v>
                </c:pt>
                <c:pt idx="252">
                  <c:v>-1.2965018004678086E-5</c:v>
                </c:pt>
                <c:pt idx="253">
                  <c:v>-1.2468312086326705E-5</c:v>
                </c:pt>
                <c:pt idx="254">
                  <c:v>-1.1990408367097416E-5</c:v>
                </c:pt>
                <c:pt idx="255">
                  <c:v>-1.1530606586163118E-5</c:v>
                </c:pt>
                <c:pt idx="256">
                  <c:v>-1.1088231976756902E-5</c:v>
                </c:pt>
                <c:pt idx="257">
                  <c:v>-1.0662634368117097E-5</c:v>
                </c:pt>
                <c:pt idx="258">
                  <c:v>-1.025318731791458E-5</c:v>
                </c:pt>
                <c:pt idx="259">
                  <c:v>-9.8592872738123568E-6</c:v>
                </c:pt>
                <c:pt idx="260">
                  <c:v>-9.4803527628073421E-6</c:v>
                </c:pt>
                <c:pt idx="261">
                  <c:v>-9.1158236082122818E-6</c:v>
                </c:pt>
                <c:pt idx="262">
                  <c:v>-8.7651601731408842E-6</c:v>
                </c:pt>
                <c:pt idx="263">
                  <c:v>-8.4278426292883075E-6</c:v>
                </c:pt>
                <c:pt idx="264">
                  <c:v>-8.1033702510779897E-6</c:v>
                </c:pt>
                <c:pt idx="265">
                  <c:v>-7.7912607333274765E-6</c:v>
                </c:pt>
                <c:pt idx="266">
                  <c:v>-7.4910495327173976E-6</c:v>
                </c:pt>
                <c:pt idx="267">
                  <c:v>-7.2022892314294043E-6</c:v>
                </c:pt>
                <c:pt idx="268">
                  <c:v>-6.9245489228109135E-6</c:v>
                </c:pt>
                <c:pt idx="269">
                  <c:v>-6.657413618285091E-6</c:v>
                </c:pt>
                <c:pt idx="270">
                  <c:v>-6.4004836745823468E-6</c:v>
                </c:pt>
                <c:pt idx="271">
                  <c:v>-6.1533742406538747E-6</c:v>
                </c:pt>
                <c:pt idx="272">
                  <c:v>-5.9157147240540555E-6</c:v>
                </c:pt>
                <c:pt idx="273">
                  <c:v>-5.6871482757969716E-6</c:v>
                </c:pt>
                <c:pt idx="274">
                  <c:v>-5.4673312928343873E-6</c:v>
                </c:pt>
                <c:pt idx="275">
                  <c:v>-5.2559329383683465E-6</c:v>
                </c:pt>
                <c:pt idx="276">
                  <c:v>-5.0526346784351974E-6</c:v>
                </c:pt>
                <c:pt idx="277">
                  <c:v>-4.8571298351163251E-6</c:v>
                </c:pt>
                <c:pt idx="278">
                  <c:v>-4.6691231553097626E-6</c:v>
                </c:pt>
                <c:pt idx="279">
                  <c:v>-4.4883303946363638E-6</c:v>
                </c:pt>
                <c:pt idx="280">
                  <c:v>-4.3144779159121075E-6</c:v>
                </c:pt>
                <c:pt idx="281">
                  <c:v>-4.1473023019733542E-6</c:v>
                </c:pt>
                <c:pt idx="282">
                  <c:v>-3.9865499820024294E-6</c:v>
                </c:pt>
                <c:pt idx="283">
                  <c:v>-3.8319768713535037E-6</c:v>
                </c:pt>
                <c:pt idx="284">
                  <c:v>-3.683348024026145E-6</c:v>
                </c:pt>
                <c:pt idx="285">
                  <c:v>-3.5404372971470366E-6</c:v>
                </c:pt>
                <c:pt idx="286">
                  <c:v>-3.4030270281704134E-6</c:v>
                </c:pt>
                <c:pt idx="287">
                  <c:v>-3.2709077228076922E-6</c:v>
                </c:pt>
                <c:pt idx="288">
                  <c:v>-3.1438777545389485E-6</c:v>
                </c:pt>
                <c:pt idx="289">
                  <c:v>-3.021743074853589E-6</c:v>
                </c:pt>
                <c:pt idx="290">
                  <c:v>-2.9043169337228391E-6</c:v>
                </c:pt>
                <c:pt idx="291">
                  <c:v>-2.7914196101619381E-6</c:v>
                </c:pt>
                <c:pt idx="292">
                  <c:v>-2.6828781525267686E-6</c:v>
                </c:pt>
                <c:pt idx="293">
                  <c:v>-2.578526128189651E-6</c:v>
                </c:pt>
                <c:pt idx="294">
                  <c:v>-2.4782033820969218E-6</c:v>
                </c:pt>
                <c:pt idx="295">
                  <c:v>-2.3817558039951338E-6</c:v>
                </c:pt>
                <c:pt idx="296">
                  <c:v>-2.2890351045390389E-6</c:v>
                </c:pt>
                <c:pt idx="297">
                  <c:v>-2.1998985987892184E-6</c:v>
                </c:pt>
                <c:pt idx="298">
                  <c:v>-2.1142089981651679E-6</c:v>
                </c:pt>
                <c:pt idx="299">
                  <c:v>-2.0318342097169762E-6</c:v>
                </c:pt>
                <c:pt idx="300">
                  <c:v>-1.9526471425024285E-6</c:v>
                </c:pt>
                <c:pt idx="301">
                  <c:v>-1.8765255213537558E-6</c:v>
                </c:pt>
                <c:pt idx="302">
                  <c:v>-1.8033517073234861E-6</c:v>
                </c:pt>
                <c:pt idx="303">
                  <c:v>-1.7330125243830707E-6</c:v>
                </c:pt>
                <c:pt idx="304">
                  <c:v>-1.6653990930137753E-6</c:v>
                </c:pt>
                <c:pt idx="305">
                  <c:v>-1.6004066693398045E-6</c:v>
                </c:pt>
                <c:pt idx="306">
                  <c:v>-1.5379344903720949E-6</c:v>
                </c:pt>
                <c:pt idx="307">
                  <c:v>-1.4778856250785565E-6</c:v>
                </c:pt>
                <c:pt idx="308">
                  <c:v>-1.4201668307123328E-6</c:v>
                </c:pt>
                <c:pt idx="309">
                  <c:v>-1.3646884143980743E-6</c:v>
                </c:pt>
                <c:pt idx="310">
                  <c:v>-1.3113640999051768E-6</c:v>
                </c:pt>
                <c:pt idx="311">
                  <c:v>-1.2601108993948174E-6</c:v>
                </c:pt>
                <c:pt idx="312">
                  <c:v>-1.2108489897144637E-6</c:v>
                </c:pt>
                <c:pt idx="313">
                  <c:v>-1.1635015933819658E-6</c:v>
                </c:pt>
                <c:pt idx="314">
                  <c:v>-1.1179948639039593E-6</c:v>
                </c:pt>
                <c:pt idx="315">
                  <c:v>-1.0742577752864689E-6</c:v>
                </c:pt>
                <c:pt idx="316">
                  <c:v>-1.0322220159508787E-6</c:v>
                </c:pt>
                <c:pt idx="317">
                  <c:v>-9.9182188591839807E-7</c:v>
                </c:pt>
                <c:pt idx="318">
                  <c:v>-9.5299419868410949E-7</c:v>
                </c:pt>
                <c:pt idx="319">
                  <c:v>-9.1567818586213431E-7</c:v>
                </c:pt>
                <c:pt idx="320">
                  <c:v>-8.7981540595194476E-7</c:v>
                </c:pt>
                <c:pt idx="321">
                  <c:v>-8.453496564442276E-7</c:v>
                </c:pt>
                <c:pt idx="322">
                  <c:v>-8.1222688883997309E-7</c:v>
                </c:pt>
                <c:pt idx="323">
                  <c:v>-7.8039512722227752E-7</c:v>
                </c:pt>
                <c:pt idx="324">
                  <c:v>-7.498043895992623E-7</c:v>
                </c:pt>
                <c:pt idx="325">
                  <c:v>-7.2040661237338099E-7</c:v>
                </c:pt>
                <c:pt idx="326">
                  <c:v>-6.9215557751078905E-7</c:v>
                </c:pt>
                <c:pt idx="327">
                  <c:v>-6.6500684241077575E-7</c:v>
                </c:pt>
                <c:pt idx="328">
                  <c:v>-6.3891767261736735E-7</c:v>
                </c:pt>
                <c:pt idx="329">
                  <c:v>-6.1384697673361184E-7</c:v>
                </c:pt>
                <c:pt idx="330">
                  <c:v>-5.8975524396487345E-7</c:v>
                </c:pt>
                <c:pt idx="331">
                  <c:v>-5.6660448407797051E-7</c:v>
                </c:pt>
                <c:pt idx="332">
                  <c:v>-5.4435816927878026E-7</c:v>
                </c:pt>
                <c:pt idx="333">
                  <c:v>-5.2298117864779674E-7</c:v>
                </c:pt>
                <c:pt idx="334">
                  <c:v>-5.0243974456520848E-7</c:v>
                </c:pt>
                <c:pt idx="335">
                  <c:v>-4.8270140098338741E-7</c:v>
                </c:pt>
                <c:pt idx="336">
                  <c:v>-4.6373493368889739E-7</c:v>
                </c:pt>
                <c:pt idx="337">
                  <c:v>-4.455103326961307E-7</c:v>
                </c:pt>
                <c:pt idx="338">
                  <c:v>-4.2799874613308473E-7</c:v>
                </c:pt>
                <c:pt idx="339">
                  <c:v>-4.1117243604560372E-7</c:v>
                </c:pt>
                <c:pt idx="340">
                  <c:v>-3.9500473562270601E-7</c:v>
                </c:pt>
                <c:pt idx="341">
                  <c:v>-3.7947000841143109E-7</c:v>
                </c:pt>
                <c:pt idx="342">
                  <c:v>-3.6454360888171775E-7</c:v>
                </c:pt>
                <c:pt idx="343">
                  <c:v>-3.5020184434131353E-7</c:v>
                </c:pt>
                <c:pt idx="344">
                  <c:v>-3.3642193848493206E-7</c:v>
                </c:pt>
                <c:pt idx="345">
                  <c:v>-3.2318199629344234E-7</c:v>
                </c:pt>
                <c:pt idx="346">
                  <c:v>-3.1046097021203422E-7</c:v>
                </c:pt>
                <c:pt idx="347">
                  <c:v>-2.9823862760736121E-7</c:v>
                </c:pt>
                <c:pt idx="348">
                  <c:v>-2.8649551957471432E-7</c:v>
                </c:pt>
                <c:pt idx="349">
                  <c:v>-2.7521295073995591E-7</c:v>
                </c:pt>
                <c:pt idx="350">
                  <c:v>-2.643729503404302E-7</c:v>
                </c:pt>
                <c:pt idx="351">
                  <c:v>-2.5395824444274239E-7</c:v>
                </c:pt>
                <c:pt idx="352">
                  <c:v>-2.439522290842433E-7</c:v>
                </c:pt>
                <c:pt idx="353">
                  <c:v>-2.3433894440927361E-7</c:v>
                </c:pt>
                <c:pt idx="354">
                  <c:v>-2.2510305001333108E-7</c:v>
                </c:pt>
                <c:pt idx="355">
                  <c:v>-2.1622980113988888E-7</c:v>
                </c:pt>
                <c:pt idx="356">
                  <c:v>-2.0770502551670233E-7</c:v>
                </c:pt>
                <c:pt idx="357">
                  <c:v>-1.9951510147109275E-7</c:v>
                </c:pt>
                <c:pt idx="358">
                  <c:v>-1.9164693668471955E-7</c:v>
                </c:pt>
                <c:pt idx="359">
                  <c:v>-1.8408794772994951E-7</c:v>
                </c:pt>
                <c:pt idx="360">
                  <c:v>-1.7682604045887728E-7</c:v>
                </c:pt>
                <c:pt idx="361">
                  <c:v>-1.6984959110288856E-7</c:v>
                </c:pt>
                <c:pt idx="362">
                  <c:v>-1.6314742815382033E-7</c:v>
                </c:pt>
                <c:pt idx="363">
                  <c:v>-1.5670881488460965E-7</c:v>
                </c:pt>
                <c:pt idx="364">
                  <c:v>-1.5052343243837641E-7</c:v>
                </c:pt>
                <c:pt idx="365">
                  <c:v>-1.4458136391226617E-7</c:v>
                </c:pt>
                <c:pt idx="366">
                  <c:v>-1.3887307858340137E-7</c:v>
                </c:pt>
                <c:pt idx="367">
                  <c:v>-1.3338941705853814E-7</c:v>
                </c:pt>
                <c:pt idx="368">
                  <c:v>-1.2812157692110305E-7</c:v>
                </c:pt>
                <c:pt idx="369">
                  <c:v>-1.2306109887560978E-7</c:v>
                </c:pt>
                <c:pt idx="370">
                  <c:v>-1.1819985353156426E-7</c:v>
                </c:pt>
                <c:pt idx="371">
                  <c:v>-1.1353002854264105E-7</c:v>
                </c:pt>
                <c:pt idx="372">
                  <c:v>-1.0904411631429412E-7</c:v>
                </c:pt>
                <c:pt idx="373">
                  <c:v>-1.0473490227980164E-7</c:v>
                </c:pt>
                <c:pt idx="374">
                  <c:v>-1.0059545353158228E-7</c:v>
                </c:pt>
                <c:pt idx="375">
                  <c:v>-9.6619107736728443E-8</c:v>
                </c:pt>
                <c:pt idx="376">
                  <c:v>-9.279946283413665E-8</c:v>
                </c:pt>
                <c:pt idx="377">
                  <c:v>-8.913036687374643E-8</c:v>
                </c:pt>
                <c:pt idx="378">
                  <c:v>-8.5605908211050517E-8</c:v>
                </c:pt>
                <c:pt idx="379">
                  <c:v>-8.2220406270039353E-8</c:v>
                </c:pt>
                <c:pt idx="380">
                  <c:v>-7.8968402519308262E-8</c:v>
                </c:pt>
                <c:pt idx="381">
                  <c:v>-7.5844651945544685E-8</c:v>
                </c:pt>
                <c:pt idx="382">
                  <c:v>-7.2844114598069612E-8</c:v>
                </c:pt>
                <c:pt idx="383">
                  <c:v>-6.9961947701813193E-8</c:v>
                </c:pt>
                <c:pt idx="384">
                  <c:v>-6.7193497983453203E-8</c:v>
                </c:pt>
                <c:pt idx="385">
                  <c:v>-6.45342942817706E-8</c:v>
                </c:pt>
                <c:pt idx="386">
                  <c:v>-6.1980040513276439E-8</c:v>
                </c:pt>
                <c:pt idx="387">
                  <c:v>-5.9526608708893039E-8</c:v>
                </c:pt>
                <c:pt idx="388">
                  <c:v>-5.7170032690123659E-8</c:v>
                </c:pt>
                <c:pt idx="389">
                  <c:v>-5.490650160311361E-8</c:v>
                </c:pt>
                <c:pt idx="390">
                  <c:v>-5.2732353879036964E-8</c:v>
                </c:pt>
                <c:pt idx="391">
                  <c:v>-5.0644071478700425E-8</c:v>
                </c:pt>
                <c:pt idx="392">
                  <c:v>-4.8638274208201436E-8</c:v>
                </c:pt>
                <c:pt idx="393">
                  <c:v>-4.6711714531966208E-8</c:v>
                </c:pt>
                <c:pt idx="394">
                  <c:v>-4.4861272101570647E-8</c:v>
                </c:pt>
                <c:pt idx="395">
                  <c:v>-4.3083948995104035E-8</c:v>
                </c:pt>
                <c:pt idx="396">
                  <c:v>-4.1376864956532698E-8</c:v>
                </c:pt>
                <c:pt idx="397">
                  <c:v>-3.9737252777172219E-8</c:v>
                </c:pt>
                <c:pt idx="398">
                  <c:v>-3.8162453748213918E-8</c:v>
                </c:pt>
                <c:pt idx="399">
                  <c:v>-3.6649913610631302E-8</c:v>
                </c:pt>
                <c:pt idx="400">
                  <c:v>-3.5197178362977869E-8</c:v>
                </c:pt>
                <c:pt idx="401">
                  <c:v>-3.3801890282347811E-8</c:v>
                </c:pt>
                <c:pt idx="402">
                  <c:v>-3.2461784442716633E-8</c:v>
                </c:pt>
                <c:pt idx="403">
                  <c:v>-3.1174684735901793E-8</c:v>
                </c:pt>
                <c:pt idx="404">
                  <c:v>-2.9938500532011859E-8</c:v>
                </c:pt>
                <c:pt idx="405">
                  <c:v>-2.8751223553058482E-8</c:v>
                </c:pt>
                <c:pt idx="406">
                  <c:v>-2.7610924249188428E-8</c:v>
                </c:pt>
                <c:pt idx="407">
                  <c:v>-2.6515749027566926E-8</c:v>
                </c:pt>
                <c:pt idx="408">
                  <c:v>-2.5463917197043884E-8</c:v>
                </c:pt>
                <c:pt idx="409">
                  <c:v>-2.4453718054928685E-8</c:v>
                </c:pt>
                <c:pt idx="410">
                  <c:v>-2.3483508186927793E-8</c:v>
                </c:pt>
                <c:pt idx="411">
                  <c:v>-2.2551708909190894E-8</c:v>
                </c:pt>
                <c:pt idx="412">
                  <c:v>-2.1656803497194232E-8</c:v>
                </c:pt>
                <c:pt idx="413">
                  <c:v>-2.079733505411241E-8</c:v>
                </c:pt>
                <c:pt idx="414">
                  <c:v>-1.9971903952864523E-8</c:v>
                </c:pt>
                <c:pt idx="415">
                  <c:v>-1.9179165775540242E-8</c:v>
                </c:pt>
                <c:pt idx="416">
                  <c:v>-1.84178288975545E-8</c:v>
                </c:pt>
                <c:pt idx="417">
                  <c:v>-1.7686652640236388E-8</c:v>
                </c:pt>
                <c:pt idx="418">
                  <c:v>-1.6984445139200943E-8</c:v>
                </c:pt>
                <c:pt idx="419">
                  <c:v>-1.6310061567992307E-8</c:v>
                </c:pt>
                <c:pt idx="420">
                  <c:v>-1.5662402148564071E-8</c:v>
                </c:pt>
                <c:pt idx="421">
                  <c:v>-1.5040410374922431E-8</c:v>
                </c:pt>
                <c:pt idx="422">
                  <c:v>-1.4443071520986451E-8</c:v>
                </c:pt>
                <c:pt idx="423">
                  <c:v>-1.386941079317694E-8</c:v>
                </c:pt>
                <c:pt idx="424">
                  <c:v>-1.3318491838276714E-8</c:v>
                </c:pt>
                <c:pt idx="425">
                  <c:v>-1.2789415180236574E-8</c:v>
                </c:pt>
                <c:pt idx="426">
                  <c:v>-1.228131687014411E-8</c:v>
                </c:pt>
                <c:pt idx="427">
                  <c:v>-1.1793366994083954E-8</c:v>
                </c:pt>
                <c:pt idx="428">
                  <c:v>-1.1324768323106582E-8</c:v>
                </c:pt>
                <c:pt idx="429">
                  <c:v>-1.0874755247414214E-8</c:v>
                </c:pt>
                <c:pt idx="430">
                  <c:v>-1.044259221316679E-8</c:v>
                </c:pt>
                <c:pt idx="431">
                  <c:v>-1.0027572798776418E-8</c:v>
                </c:pt>
                <c:pt idx="432">
                  <c:v>-9.6290183648761747E-9</c:v>
                </c:pt>
                <c:pt idx="433">
                  <c:v>-9.2462771306145446E-9</c:v>
                </c:pt>
                <c:pt idx="434">
                  <c:v>-8.8787230367870502E-9</c:v>
                </c:pt>
                <c:pt idx="435">
                  <c:v>-8.5257547510764202E-9</c:v>
                </c:pt>
                <c:pt idx="436">
                  <c:v>-8.1867946732927516E-9</c:v>
                </c:pt>
                <c:pt idx="437">
                  <c:v>-7.8612880827222394E-9</c:v>
                </c:pt>
                <c:pt idx="438">
                  <c:v>-7.5487020012587898E-9</c:v>
                </c:pt>
                <c:pt idx="439">
                  <c:v>-7.2485246960241059E-9</c:v>
                </c:pt>
                <c:pt idx="440">
                  <c:v>-6.9602645424993172E-9</c:v>
                </c:pt>
                <c:pt idx="441">
                  <c:v>-6.6834493850365107E-9</c:v>
                </c:pt>
                <c:pt idx="442">
                  <c:v>-6.417625684207451E-9</c:v>
                </c:pt>
                <c:pt idx="443">
                  <c:v>-6.1623578773151168E-9</c:v>
                </c:pt>
                <c:pt idx="444">
                  <c:v>-5.9172275967966925E-9</c:v>
                </c:pt>
                <c:pt idx="445">
                  <c:v>-5.6818330307351064E-9</c:v>
                </c:pt>
                <c:pt idx="446">
                  <c:v>-5.4557882833705658E-9</c:v>
                </c:pt>
                <c:pt idx="447">
                  <c:v>-5.2387226645578269E-9</c:v>
                </c:pt>
                <c:pt idx="448">
                  <c:v>-5.0302801923862717E-9</c:v>
                </c:pt>
                <c:pt idx="449">
                  <c:v>-4.8301189536914539E-9</c:v>
                </c:pt>
                <c:pt idx="450">
                  <c:v>-4.6379104645666302E-9</c:v>
                </c:pt>
                <c:pt idx="451">
                  <c:v>-4.4533393861456719E-9</c:v>
                </c:pt>
                <c:pt idx="452">
                  <c:v>-4.2761028140603228E-9</c:v>
                </c:pt>
                <c:pt idx="453">
                  <c:v>-4.1059097810602911E-9</c:v>
                </c:pt>
                <c:pt idx="454">
                  <c:v>-3.9424808306876001E-9</c:v>
                </c:pt>
                <c:pt idx="455">
                  <c:v>-3.7855476620052284E-9</c:v>
                </c:pt>
                <c:pt idx="456">
                  <c:v>-3.6348524901086422E-9</c:v>
                </c:pt>
                <c:pt idx="457">
                  <c:v>-3.4901478329629755E-9</c:v>
                </c:pt>
                <c:pt idx="458">
                  <c:v>-3.3511959429688433E-9</c:v>
                </c:pt>
                <c:pt idx="459">
                  <c:v>-3.2177685227452455E-9</c:v>
                </c:pt>
                <c:pt idx="460">
                  <c:v>-3.0896462988039275E-9</c:v>
                </c:pt>
                <c:pt idx="461">
                  <c:v>-2.9666186662780093E-9</c:v>
                </c:pt>
                <c:pt idx="462">
                  <c:v>-2.84848333365062E-9</c:v>
                </c:pt>
                <c:pt idx="463">
                  <c:v>-2.7350461095920765E-9</c:v>
                </c:pt>
                <c:pt idx="464">
                  <c:v>-2.6261204766342415E-9</c:v>
                </c:pt>
                <c:pt idx="465">
                  <c:v>-2.5215273069534304E-9</c:v>
                </c:pt>
                <c:pt idx="466">
                  <c:v>-2.421094507099042E-9</c:v>
                </c:pt>
                <c:pt idx="467">
                  <c:v>-2.3246568758850117E-9</c:v>
                </c:pt>
                <c:pt idx="468">
                  <c:v>-2.2320557491184444E-9</c:v>
                </c:pt>
                <c:pt idx="469">
                  <c:v>-2.14313871538252E-9</c:v>
                </c:pt>
                <c:pt idx="470">
                  <c:v>-2.0577594028736713E-9</c:v>
                </c:pt>
                <c:pt idx="471">
                  <c:v>-1.9757772662387651E-9</c:v>
                </c:pt>
                <c:pt idx="472">
                  <c:v>-1.897057373412281E-9</c:v>
                </c:pt>
                <c:pt idx="473">
                  <c:v>-1.8214701213992157E-9</c:v>
                </c:pt>
                <c:pt idx="474">
                  <c:v>-1.7488910231122645E-9</c:v>
                </c:pt>
                <c:pt idx="475">
                  <c:v>-1.6792004942089988E-9</c:v>
                </c:pt>
                <c:pt idx="476">
                  <c:v>-1.6122837820375934E-9</c:v>
                </c:pt>
                <c:pt idx="477">
                  <c:v>-1.5480306103654584E-9</c:v>
                </c:pt>
                <c:pt idx="478">
                  <c:v>-1.4863351083249655E-9</c:v>
                </c:pt>
                <c:pt idx="479">
                  <c:v>-1.4270956683049007E-9</c:v>
                </c:pt>
                <c:pt idx="480">
                  <c:v>-1.3702145906790974E-9</c:v>
                </c:pt>
                <c:pt idx="481">
                  <c:v>-1.3155981548607088E-9</c:v>
                </c:pt>
                <c:pt idx="482">
                  <c:v>-1.2631562640308403E-9</c:v>
                </c:pt>
                <c:pt idx="483">
                  <c:v>-1.2128025161928235E-9</c:v>
                </c:pt>
                <c:pt idx="484">
                  <c:v>-1.1644538489008482E-9</c:v>
                </c:pt>
                <c:pt idx="485">
                  <c:v>-1.1180305392599621E-9</c:v>
                </c:pt>
                <c:pt idx="486">
                  <c:v>-1.0734559907632502E-9</c:v>
                </c:pt>
                <c:pt idx="487">
                  <c:v>-1.0306566622375612E-9</c:v>
                </c:pt>
                <c:pt idx="488">
                  <c:v>-9.8956199678923441E-10</c:v>
                </c:pt>
                <c:pt idx="489">
                  <c:v>-9.5010420864127808E-10</c:v>
                </c:pt>
                <c:pt idx="490">
                  <c:v>-9.1221806997054954E-10</c:v>
                </c:pt>
                <c:pt idx="491">
                  <c:v>-8.7584112407057541E-10</c:v>
                </c:pt>
                <c:pt idx="492">
                  <c:v>-8.4091333008018409E-10</c:v>
                </c:pt>
                <c:pt idx="493">
                  <c:v>-8.0737706298350532E-10</c:v>
                </c:pt>
                <c:pt idx="494">
                  <c:v>-7.751769004471498E-10</c:v>
                </c:pt>
                <c:pt idx="495">
                  <c:v>-7.442596938744828E-10</c:v>
                </c:pt>
                <c:pt idx="496">
                  <c:v>-7.145744262970766E-10</c:v>
                </c:pt>
                <c:pt idx="497">
                  <c:v>-6.8607199921189024E-10</c:v>
                </c:pt>
                <c:pt idx="498">
                  <c:v>-6.5870537468981634E-10</c:v>
                </c:pt>
                <c:pt idx="499">
                  <c:v>-6.3242929115858711E-10</c:v>
                </c:pt>
                <c:pt idx="500">
                  <c:v>-6.0720040551132115E-10</c:v>
                </c:pt>
                <c:pt idx="501">
                  <c:v>-5.8297700888942928E-10</c:v>
                </c:pt>
                <c:pt idx="502">
                  <c:v>-5.5971909773688826E-10</c:v>
                </c:pt>
                <c:pt idx="503">
                  <c:v>-5.3738823169169335E-10</c:v>
                </c:pt>
                <c:pt idx="504">
                  <c:v>-5.1594746253158515E-10</c:v>
                </c:pt>
                <c:pt idx="505">
                  <c:v>-4.9536133417404929E-10</c:v>
                </c:pt>
                <c:pt idx="506">
                  <c:v>-4.7559588267631624E-10</c:v>
                </c:pt>
                <c:pt idx="507">
                  <c:v>-4.566184230725412E-10</c:v>
                </c:pt>
                <c:pt idx="508">
                  <c:v>-4.3839754937380349E-10</c:v>
                </c:pt>
                <c:pt idx="509">
                  <c:v>-4.2090306351383331E-10</c:v>
                </c:pt>
                <c:pt idx="510">
                  <c:v>-4.0410611745755885E-10</c:v>
                </c:pt>
                <c:pt idx="511">
                  <c:v>-3.8797892898401187E-10</c:v>
                </c:pt>
                <c:pt idx="512">
                  <c:v>-3.7249478168632779E-10</c:v>
                </c:pt>
                <c:pt idx="513">
                  <c:v>-3.576280960260192E-10</c:v>
                </c:pt>
                <c:pt idx="514">
                  <c:v>-3.4335428722442884E-10</c:v>
                </c:pt>
                <c:pt idx="515">
                  <c:v>-3.2964969420845591E-10</c:v>
                </c:pt>
                <c:pt idx="516">
                  <c:v>-3.1649165066482963E-10</c:v>
                </c:pt>
                <c:pt idx="517">
                  <c:v>-3.0385841398583577E-10</c:v>
                </c:pt>
                <c:pt idx="518">
                  <c:v>-2.9172902316076942E-10</c:v>
                </c:pt>
                <c:pt idx="519">
                  <c:v>-2.800834408844821E-10</c:v>
                </c:pt>
                <c:pt idx="520">
                  <c:v>-2.6890234039456117E-10</c:v>
                </c:pt>
                <c:pt idx="521">
                  <c:v>-2.5816724757987684E-10</c:v>
                </c:pt>
                <c:pt idx="522">
                  <c:v>-2.4786039887203515E-10</c:v>
                </c:pt>
                <c:pt idx="523">
                  <c:v>-2.3796474124537779E-10</c:v>
                </c:pt>
                <c:pt idx="524">
                  <c:v>-2.2846386116270878E-10</c:v>
                </c:pt>
                <c:pt idx="525">
                  <c:v>-2.1934205562956778E-10</c:v>
                </c:pt>
                <c:pt idx="526">
                  <c:v>-2.1058411903140951E-10</c:v>
                </c:pt>
                <c:pt idx="527">
                  <c:v>-2.0217562735069804E-10</c:v>
                </c:pt>
                <c:pt idx="528">
                  <c:v>-1.9410265394981252E-10</c:v>
                </c:pt>
                <c:pt idx="529">
                  <c:v>-1.8635176957104705E-10</c:v>
                </c:pt>
                <c:pt idx="530">
                  <c:v>-1.7891018444515793E-10</c:v>
                </c:pt>
                <c:pt idx="531">
                  <c:v>-1.7176553512854297E-10</c:v>
                </c:pt>
                <c:pt idx="532">
                  <c:v>-1.6490602661178854E-10</c:v>
                </c:pt>
                <c:pt idx="533">
                  <c:v>-1.5832029021112247E-10</c:v>
                </c:pt>
                <c:pt idx="534">
                  <c:v>-1.5199738356841408E-10</c:v>
                </c:pt>
                <c:pt idx="535">
                  <c:v>-1.4592679065117408E-10</c:v>
                </c:pt>
                <c:pt idx="536">
                  <c:v>-1.4009849280682829E-10</c:v>
                </c:pt>
                <c:pt idx="537">
                  <c:v>-1.3450282665417035E-10</c:v>
                </c:pt>
                <c:pt idx="538">
                  <c:v>-1.2913048408336181E-10</c:v>
                </c:pt>
                <c:pt idx="539">
                  <c:v>-1.2397258331020567E-10</c:v>
                </c:pt>
                <c:pt idx="540">
                  <c:v>-1.190205978218728E-10</c:v>
                </c:pt>
                <c:pt idx="541">
                  <c:v>-1.1426628532262839E-10</c:v>
                </c:pt>
                <c:pt idx="542">
                  <c:v>-1.0970175878810551E-10</c:v>
                </c:pt>
                <c:pt idx="543">
                  <c:v>-1.0531941541103151E-10</c:v>
                </c:pt>
                <c:pt idx="544">
                  <c:v>-1.0111207870977523E-10</c:v>
                </c:pt>
                <c:pt idx="545">
                  <c:v>-9.7072714311252642E-11</c:v>
                </c:pt>
                <c:pt idx="546">
                  <c:v>-9.3194572059474008E-11</c:v>
                </c:pt>
                <c:pt idx="547">
                  <c:v>-8.9471328124091083E-11</c:v>
                </c:pt>
                <c:pt idx="548">
                  <c:v>-8.5896729729029171E-11</c:v>
                </c:pt>
                <c:pt idx="549">
                  <c:v>-8.2464808315307887E-11</c:v>
                </c:pt>
                <c:pt idx="550">
                  <c:v>-7.9169950595314733E-11</c:v>
                </c:pt>
                <c:pt idx="551">
                  <c:v>-7.6006685389984339E-11</c:v>
                </c:pt>
                <c:pt idx="552">
                  <c:v>-7.2969683628798519E-11</c:v>
                </c:pt>
                <c:pt idx="553">
                  <c:v>-7.0053971512606945E-11</c:v>
                </c:pt>
                <c:pt idx="554">
                  <c:v>-6.725471735080646E-11</c:v>
                </c:pt>
                <c:pt idx="555">
                  <c:v>-6.4567231561341037E-11</c:v>
                </c:pt>
                <c:pt idx="556">
                  <c:v>-6.1987108779248955E-11</c:v>
                </c:pt>
                <c:pt idx="557">
                  <c:v>-5.9510014693842101E-11</c:v>
                </c:pt>
                <c:pt idx="558">
                  <c:v>-5.7131828157253041E-11</c:v>
                </c:pt>
                <c:pt idx="559">
                  <c:v>-5.4848641184435111E-11</c:v>
                </c:pt>
                <c:pt idx="560">
                  <c:v>-5.265668789888878E-11</c:v>
                </c:pt>
                <c:pt idx="561">
                  <c:v>-5.055227347838809E-11</c:v>
                </c:pt>
                <c:pt idx="562">
                  <c:v>-4.8531916263527821E-11</c:v>
                </c:pt>
                <c:pt idx="563">
                  <c:v>-4.6592205649176325E-11</c:v>
                </c:pt>
                <c:pt idx="564">
                  <c:v>-4.4730015247296248E-11</c:v>
                </c:pt>
                <c:pt idx="565">
                  <c:v>-4.2942218669850262E-11</c:v>
                </c:pt>
                <c:pt idx="566">
                  <c:v>-4.1225831637348168E-11</c:v>
                </c:pt>
                <c:pt idx="567">
                  <c:v>-3.9578011978846914E-11</c:v>
                </c:pt>
                <c:pt idx="568">
                  <c:v>-3.7996059631950631E-11</c:v>
                </c:pt>
                <c:pt idx="569">
                  <c:v>-3.6477274534263417E-11</c:v>
                </c:pt>
                <c:pt idx="570">
                  <c:v>-3.5019169786210115E-11</c:v>
                </c:pt>
                <c:pt idx="571">
                  <c:v>-3.361932954248914E-11</c:v>
                </c:pt>
                <c:pt idx="572">
                  <c:v>-3.2275409012072484E-11</c:v>
                </c:pt>
                <c:pt idx="573">
                  <c:v>-3.0985205512479295E-11</c:v>
                </c:pt>
                <c:pt idx="574">
                  <c:v>-2.9746516361228713E-11</c:v>
                </c:pt>
                <c:pt idx="575">
                  <c:v>-2.8557352038660612E-11</c:v>
                </c:pt>
                <c:pt idx="576">
                  <c:v>-2.7415651970841281E-11</c:v>
                </c:pt>
                <c:pt idx="577">
                  <c:v>-2.6319639800931326E-11</c:v>
                </c:pt>
                <c:pt idx="578">
                  <c:v>-2.5267397063544196E-11</c:v>
                </c:pt>
                <c:pt idx="579">
                  <c:v>-2.4257218456114061E-11</c:v>
                </c:pt>
                <c:pt idx="580">
                  <c:v>-2.3287398676075098E-11</c:v>
                </c:pt>
                <c:pt idx="581">
                  <c:v>-2.2356303475135063E-11</c:v>
                </c:pt>
                <c:pt idx="582">
                  <c:v>-2.1462440713548859E-11</c:v>
                </c:pt>
                <c:pt idx="583">
                  <c:v>-2.0604318251571386E-11</c:v>
                </c:pt>
                <c:pt idx="584">
                  <c:v>-1.9780443949457548E-11</c:v>
                </c:pt>
                <c:pt idx="585">
                  <c:v>-1.8989538830282981E-11</c:v>
                </c:pt>
                <c:pt idx="586">
                  <c:v>-1.8230252862849737E-11</c:v>
                </c:pt>
                <c:pt idx="587">
                  <c:v>-1.7501307070233453E-11</c:v>
                </c:pt>
                <c:pt idx="588">
                  <c:v>-1.6801493529783328E-11</c:v>
                </c:pt>
                <c:pt idx="589">
                  <c:v>-1.6129604318848578E-11</c:v>
                </c:pt>
                <c:pt idx="590">
                  <c:v>-1.5484573623325561E-11</c:v>
                </c:pt>
                <c:pt idx="591">
                  <c:v>-1.4865335629110633E-11</c:v>
                </c:pt>
                <c:pt idx="592">
                  <c:v>-1.4270895576373733E-11</c:v>
                </c:pt>
                <c:pt idx="593">
                  <c:v>-1.370018765101122E-11</c:v>
                </c:pt>
                <c:pt idx="594">
                  <c:v>-1.3152288147466606E-11</c:v>
                </c:pt>
                <c:pt idx="595">
                  <c:v>-1.2626273360183404E-11</c:v>
                </c:pt>
                <c:pt idx="596">
                  <c:v>-1.2121290637878702E-11</c:v>
                </c:pt>
                <c:pt idx="597">
                  <c:v>-1.1636558383543161E-11</c:v>
                </c:pt>
                <c:pt idx="598">
                  <c:v>-1.1171152891620295E-11</c:v>
                </c:pt>
                <c:pt idx="599">
                  <c:v>-1.0724363619374344E-11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BD-45D4-8D66-CBD1E918F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39824"/>
        <c:axId val="417041072"/>
      </c:scatterChart>
      <c:valAx>
        <c:axId val="41703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 (min)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41072"/>
        <c:crosses val="autoZero"/>
        <c:crossBetween val="midCat"/>
      </c:valAx>
      <c:valAx>
        <c:axId val="417041072"/>
        <c:scaling>
          <c:orientation val="minMax"/>
        </c:scaling>
        <c:delete val="0"/>
        <c:axPos val="l"/>
        <c:majorGridlines>
          <c:spPr>
            <a:ln w="6350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6350" cap="flat" cmpd="sng" algn="ctr">
                  <a:solidFill>
                    <a:sysClr val="windowText" lastClr="000000">
                      <a:tint val="7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spPr>
          <a:ln w="19050">
            <a:solidFill>
              <a:srgbClr val="000000"/>
            </a:solidFill>
          </a:ln>
        </c:spPr>
        <c:crossAx val="417039824"/>
        <c:crosses val="autoZero"/>
        <c:crossBetween val="midCat"/>
      </c:valAx>
      <c:spPr>
        <a:ln w="3175"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$AB$13" lockText="1" noThreeD="1"/>
</file>

<file path=xl/ctrlProps/ctrlProp2.xml><?xml version="1.0" encoding="utf-8"?>
<formControlPr xmlns="http://schemas.microsoft.com/office/spreadsheetml/2009/9/main" objectType="CheckBox" fmlaLink="$AB$14" lockText="1" noThreeD="1"/>
</file>

<file path=xl/ctrlProps/ctrlProp3.xml><?xml version="1.0" encoding="utf-8"?>
<formControlPr xmlns="http://schemas.microsoft.com/office/spreadsheetml/2009/9/main" objectType="CheckBox" fmlaLink="$AB$15" lockText="1" noThreeD="1"/>
</file>

<file path=xl/ctrlProps/ctrlProp4.xml><?xml version="1.0" encoding="utf-8"?>
<formControlPr xmlns="http://schemas.microsoft.com/office/spreadsheetml/2009/9/main" objectType="CheckBox" fmlaLink="$AB$16" lockText="1" noThreeD="1"/>
</file>

<file path=xl/ctrlProps/ctrlProp5.xml><?xml version="1.0" encoding="utf-8"?>
<formControlPr xmlns="http://schemas.microsoft.com/office/spreadsheetml/2009/9/main" objectType="CheckBox" fmlaLink="$AB$17" lockText="1" noThreeD="1"/>
</file>

<file path=xl/ctrlProps/ctrlProp6.xml><?xml version="1.0" encoding="utf-8"?>
<formControlPr xmlns="http://schemas.microsoft.com/office/spreadsheetml/2009/9/main" objectType="CheckBox" fmlaLink="$AB$18" lockText="1" noThreeD="1"/>
</file>

<file path=xl/ctrlProps/ctrlProp7.xml><?xml version="1.0" encoding="utf-8"?>
<formControlPr xmlns="http://schemas.microsoft.com/office/spreadsheetml/2009/9/main" objectType="CheckBox" fmlaLink="$AB$19" lockText="1" noThreeD="1"/>
</file>

<file path=xl/ctrlProps/ctrlProp8.xml><?xml version="1.0" encoding="utf-8"?>
<formControlPr xmlns="http://schemas.microsoft.com/office/spreadsheetml/2009/9/main" objectType="CheckBox" fmlaLink="$AB$20" lockText="1" noThreeD="1"/>
</file>

<file path=xl/ctrlProps/ctrlProp9.xml><?xml version="1.0" encoding="utf-8"?>
<formControlPr xmlns="http://schemas.microsoft.com/office/spreadsheetml/2009/9/main" objectType="CheckBox" fmlaLink="$AB$21" lockText="1" noThreeD="1"/>
</file>

<file path=xl/ctrlProps/ctrlProp10.xml><?xml version="1.0" encoding="utf-8"?>
<formControlPr xmlns="http://schemas.microsoft.com/office/spreadsheetml/2009/9/main" objectType="CheckBox" fmlaLink="$AB$22" lockText="1" noThreeD="1"/>
</file>

<file path=xl/ctrlProps/ctrlProp11.xml><?xml version="1.0" encoding="utf-8"?>
<formControlPr xmlns="http://schemas.microsoft.com/office/spreadsheetml/2009/9/main" objectType="CheckBox" fmlaLink="$AB$23" lockText="1" noThreeD="1"/>
</file>

<file path=xl/ctrlProps/ctrlProp12.xml><?xml version="1.0" encoding="utf-8"?>
<formControlPr xmlns="http://schemas.microsoft.com/office/spreadsheetml/2009/9/main" objectType="CheckBox" fmlaLink="$AB$24" lockText="1" noThreeD="1"/>
</file>

<file path=xl/ctrlProps/ctrlProp13.xml><?xml version="1.0" encoding="utf-8"?>
<formControlPr xmlns="http://schemas.microsoft.com/office/spreadsheetml/2009/9/main" objectType="CheckBox" fmlaLink="$AB$25" lockText="1" noThreeD="1"/>
</file>

<file path=xl/ctrlProps/ctrlProp14.xml><?xml version="1.0" encoding="utf-8"?>
<formControlPr xmlns="http://schemas.microsoft.com/office/spreadsheetml/2009/9/main" objectType="CheckBox" fmlaLink="$AB$26" lockText="1" noThreeD="1"/>
</file>

<file path=xl/ctrlProps/ctrlProp15.xml><?xml version="1.0" encoding="utf-8"?>
<formControlPr xmlns="http://schemas.microsoft.com/office/spreadsheetml/2009/9/main" objectType="CheckBox" fmlaLink="$AB$27" lockText="1" noThreeD="1"/>
</file>

<file path=xl/ctrlProps/ctrlProp16.xml><?xml version="1.0" encoding="utf-8"?>
<formControlPr xmlns="http://schemas.microsoft.com/office/spreadsheetml/2009/9/main" objectType="CheckBox" fmlaLink="$AB$28" lockText="1" noThreeD="1"/>
</file>

<file path=xl/ctrlProps/ctrlProp17.xml><?xml version="1.0" encoding="utf-8"?>
<formControlPr xmlns="http://schemas.microsoft.com/office/spreadsheetml/2009/9/main" objectType="CheckBox" fmlaLink="$AB$29" lockText="1" noThreeD="1"/>
</file>

<file path=xl/ctrlProps/ctrlProp18.xml><?xml version="1.0" encoding="utf-8"?>
<formControlPr xmlns="http://schemas.microsoft.com/office/spreadsheetml/2009/9/main" objectType="CheckBox" fmlaLink="$AB$30" lockText="1" noThreeD="1"/>
</file>

<file path=xl/ctrlProps/ctrlProp19.xml><?xml version="1.0" encoding="utf-8"?>
<formControlPr xmlns="http://schemas.microsoft.com/office/spreadsheetml/2009/9/main" objectType="CheckBox" fmlaLink="$AB$31" lockText="1" noThreeD="1"/>
</file>

<file path=xl/ctrlProps/ctrlProp20.xml><?xml version="1.0" encoding="utf-8"?>
<formControlPr xmlns="http://schemas.microsoft.com/office/spreadsheetml/2009/9/main" objectType="CheckBox" fmlaLink="$AB$32" lockText="1" noThreeD="1"/>
</file>

<file path=xl/ctrlProps/ctrlProp21.xml><?xml version="1.0" encoding="utf-8"?>
<formControlPr xmlns="http://schemas.microsoft.com/office/spreadsheetml/2009/9/main" objectType="CheckBox" fmlaLink="$AB$33" lockText="1" noThreeD="1"/>
</file>

<file path=xl/ctrlProps/ctrlProp22.xml><?xml version="1.0" encoding="utf-8"?>
<formControlPr xmlns="http://schemas.microsoft.com/office/spreadsheetml/2009/9/main" objectType="CheckBox" fmlaLink="$AB$34" lockText="1" noThreeD="1"/>
</file>

<file path=xl/ctrlProps/ctrlProp23.xml><?xml version="1.0" encoding="utf-8"?>
<formControlPr xmlns="http://schemas.microsoft.com/office/spreadsheetml/2009/9/main" objectType="CheckBox" fmlaLink="$AB$50" lockText="1" noThreeD="1"/>
</file>

<file path=xl/ctrlProps/ctrlProp24.xml><?xml version="1.0" encoding="utf-8"?>
<formControlPr xmlns="http://schemas.microsoft.com/office/spreadsheetml/2009/9/main" objectType="CheckBox" fmlaLink="$AB$51" lockText="1" noThreeD="1"/>
</file>

<file path=xl/ctrlProps/ctrlProp25.xml><?xml version="1.0" encoding="utf-8"?>
<formControlPr xmlns="http://schemas.microsoft.com/office/spreadsheetml/2009/9/main" objectType="CheckBox" fmlaLink="$AB$52" lockText="1" noThreeD="1"/>
</file>

<file path=xl/ctrlProps/ctrlProp26.xml><?xml version="1.0" encoding="utf-8"?>
<formControlPr xmlns="http://schemas.microsoft.com/office/spreadsheetml/2009/9/main" objectType="CheckBox" fmlaLink="$AB$13" lockText="1" noThreeD="1"/>
</file>

<file path=xl/ctrlProps/ctrlProp27.xml><?xml version="1.0" encoding="utf-8"?>
<formControlPr xmlns="http://schemas.microsoft.com/office/spreadsheetml/2009/9/main" objectType="CheckBox" fmlaLink="$AB$14" lockText="1" noThreeD="1"/>
</file>

<file path=xl/ctrlProps/ctrlProp28.xml><?xml version="1.0" encoding="utf-8"?>
<formControlPr xmlns="http://schemas.microsoft.com/office/spreadsheetml/2009/9/main" objectType="CheckBox" fmlaLink="$AB$15" lockText="1" noThreeD="1"/>
</file>

<file path=xl/ctrlProps/ctrlProp29.xml><?xml version="1.0" encoding="utf-8"?>
<formControlPr xmlns="http://schemas.microsoft.com/office/spreadsheetml/2009/9/main" objectType="CheckBox" fmlaLink="$AB$16" lockText="1" noThreeD="1"/>
</file>

<file path=xl/ctrlProps/ctrlProp30.xml><?xml version="1.0" encoding="utf-8"?>
<formControlPr xmlns="http://schemas.microsoft.com/office/spreadsheetml/2009/9/main" objectType="CheckBox" fmlaLink="$AB$17" lockText="1" noThreeD="1"/>
</file>

<file path=xl/ctrlProps/ctrlProp31.xml><?xml version="1.0" encoding="utf-8"?>
<formControlPr xmlns="http://schemas.microsoft.com/office/spreadsheetml/2009/9/main" objectType="CheckBox" fmlaLink="$AB$18" lockText="1" noThreeD="1"/>
</file>

<file path=xl/ctrlProps/ctrlProp32.xml><?xml version="1.0" encoding="utf-8"?>
<formControlPr xmlns="http://schemas.microsoft.com/office/spreadsheetml/2009/9/main" objectType="CheckBox" fmlaLink="$AB$19" lockText="1" noThreeD="1"/>
</file>

<file path=xl/ctrlProps/ctrlProp33.xml><?xml version="1.0" encoding="utf-8"?>
<formControlPr xmlns="http://schemas.microsoft.com/office/spreadsheetml/2009/9/main" objectType="CheckBox" fmlaLink="$AB$20" lockText="1" noThreeD="1"/>
</file>

<file path=xl/ctrlProps/ctrlProp34.xml><?xml version="1.0" encoding="utf-8"?>
<formControlPr xmlns="http://schemas.microsoft.com/office/spreadsheetml/2009/9/main" objectType="CheckBox" fmlaLink="$AB$21" lockText="1" noThreeD="1"/>
</file>

<file path=xl/ctrlProps/ctrlProp35.xml><?xml version="1.0" encoding="utf-8"?>
<formControlPr xmlns="http://schemas.microsoft.com/office/spreadsheetml/2009/9/main" objectType="CheckBox" fmlaLink="$AB$22" lockText="1" noThreeD="1"/>
</file>

<file path=xl/ctrlProps/ctrlProp36.xml><?xml version="1.0" encoding="utf-8"?>
<formControlPr xmlns="http://schemas.microsoft.com/office/spreadsheetml/2009/9/main" objectType="CheckBox" fmlaLink="$AB$23" lockText="1" noThreeD="1"/>
</file>

<file path=xl/ctrlProps/ctrlProp37.xml><?xml version="1.0" encoding="utf-8"?>
<formControlPr xmlns="http://schemas.microsoft.com/office/spreadsheetml/2009/9/main" objectType="CheckBox" fmlaLink="$AB$24" lockText="1" noThreeD="1"/>
</file>

<file path=xl/ctrlProps/ctrlProp38.xml><?xml version="1.0" encoding="utf-8"?>
<formControlPr xmlns="http://schemas.microsoft.com/office/spreadsheetml/2009/9/main" objectType="CheckBox" fmlaLink="$AB$25" lockText="1" noThreeD="1"/>
</file>

<file path=xl/ctrlProps/ctrlProp39.xml><?xml version="1.0" encoding="utf-8"?>
<formControlPr xmlns="http://schemas.microsoft.com/office/spreadsheetml/2009/9/main" objectType="CheckBox" fmlaLink="$AB$26" lockText="1" noThreeD="1"/>
</file>

<file path=xl/ctrlProps/ctrlProp40.xml><?xml version="1.0" encoding="utf-8"?>
<formControlPr xmlns="http://schemas.microsoft.com/office/spreadsheetml/2009/9/main" objectType="CheckBox" fmlaLink="$AB$27" lockText="1" noThreeD="1"/>
</file>

<file path=xl/ctrlProps/ctrlProp41.xml><?xml version="1.0" encoding="utf-8"?>
<formControlPr xmlns="http://schemas.microsoft.com/office/spreadsheetml/2009/9/main" objectType="CheckBox" fmlaLink="$AB$28" lockText="1" noThreeD="1"/>
</file>

<file path=xl/ctrlProps/ctrlProp42.xml><?xml version="1.0" encoding="utf-8"?>
<formControlPr xmlns="http://schemas.microsoft.com/office/spreadsheetml/2009/9/main" objectType="CheckBox" fmlaLink="$AB$29" lockText="1" noThreeD="1"/>
</file>

<file path=xl/ctrlProps/ctrlProp43.xml><?xml version="1.0" encoding="utf-8"?>
<formControlPr xmlns="http://schemas.microsoft.com/office/spreadsheetml/2009/9/main" objectType="CheckBox" fmlaLink="$AB$30" lockText="1" noThreeD="1"/>
</file>

<file path=xl/ctrlProps/ctrlProp44.xml><?xml version="1.0" encoding="utf-8"?>
<formControlPr xmlns="http://schemas.microsoft.com/office/spreadsheetml/2009/9/main" objectType="CheckBox" fmlaLink="$AB$31" lockText="1" noThreeD="1"/>
</file>

<file path=xl/ctrlProps/ctrlProp45.xml><?xml version="1.0" encoding="utf-8"?>
<formControlPr xmlns="http://schemas.microsoft.com/office/spreadsheetml/2009/9/main" objectType="CheckBox" fmlaLink="$AB$32" lockText="1" noThreeD="1"/>
</file>

<file path=xl/ctrlProps/ctrlProp46.xml><?xml version="1.0" encoding="utf-8"?>
<formControlPr xmlns="http://schemas.microsoft.com/office/spreadsheetml/2009/9/main" objectType="CheckBox" fmlaLink="$AB$33" lockText="1" noThreeD="1"/>
</file>

<file path=xl/ctrlProps/ctrlProp47.xml><?xml version="1.0" encoding="utf-8"?>
<formControlPr xmlns="http://schemas.microsoft.com/office/spreadsheetml/2009/9/main" objectType="CheckBox" fmlaLink="$AB$34" lockText="1" noThreeD="1"/>
</file>

<file path=xl/ctrlProps/ctrlProp48.xml><?xml version="1.0" encoding="utf-8"?>
<formControlPr xmlns="http://schemas.microsoft.com/office/spreadsheetml/2009/9/main" objectType="CheckBox" fmlaLink="$AB$38" lockText="1" noThreeD="1"/>
</file>

<file path=xl/ctrlProps/ctrlProp49.xml><?xml version="1.0" encoding="utf-8"?>
<formControlPr xmlns="http://schemas.microsoft.com/office/spreadsheetml/2009/9/main" objectType="CheckBox" fmlaLink="$AB$39" lockText="1" noThreeD="1"/>
</file>

<file path=xl/ctrlProps/ctrlProp50.xml><?xml version="1.0" encoding="utf-8"?>
<formControlPr xmlns="http://schemas.microsoft.com/office/spreadsheetml/2009/9/main" objectType="CheckBox" fmlaLink="$AB$40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11</xdr:row>
          <xdr:rowOff>180975</xdr:rowOff>
        </xdr:from>
        <xdr:to>
          <xdr:col>25</xdr:col>
          <xdr:colOff>628650</xdr:colOff>
          <xdr:row>13</xdr:row>
          <xdr:rowOff>9525</xdr:rowOff>
        </xdr:to>
        <xdr:sp macro="" textlink="">
          <xdr:nvSpPr>
            <xdr:cNvPr id="4097" name="SecondaryAxis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12</xdr:row>
          <xdr:rowOff>180975</xdr:rowOff>
        </xdr:from>
        <xdr:to>
          <xdr:col>25</xdr:col>
          <xdr:colOff>628650</xdr:colOff>
          <xdr:row>14</xdr:row>
          <xdr:rowOff>9525</xdr:rowOff>
        </xdr:to>
        <xdr:sp macro="" textlink="">
          <xdr:nvSpPr>
            <xdr:cNvPr id="4098" name="SecondaryAxis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13</xdr:row>
          <xdr:rowOff>180975</xdr:rowOff>
        </xdr:from>
        <xdr:to>
          <xdr:col>25</xdr:col>
          <xdr:colOff>628650</xdr:colOff>
          <xdr:row>15</xdr:row>
          <xdr:rowOff>9525</xdr:rowOff>
        </xdr:to>
        <xdr:sp macro="" textlink="">
          <xdr:nvSpPr>
            <xdr:cNvPr id="4099" name="SecondaryAxis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14</xdr:row>
          <xdr:rowOff>180975</xdr:rowOff>
        </xdr:from>
        <xdr:to>
          <xdr:col>25</xdr:col>
          <xdr:colOff>628650</xdr:colOff>
          <xdr:row>16</xdr:row>
          <xdr:rowOff>9525</xdr:rowOff>
        </xdr:to>
        <xdr:sp macro="" textlink="">
          <xdr:nvSpPr>
            <xdr:cNvPr id="4100" name="SecondaryAxis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15</xdr:row>
          <xdr:rowOff>180975</xdr:rowOff>
        </xdr:from>
        <xdr:to>
          <xdr:col>25</xdr:col>
          <xdr:colOff>628650</xdr:colOff>
          <xdr:row>17</xdr:row>
          <xdr:rowOff>9525</xdr:rowOff>
        </xdr:to>
        <xdr:sp macro="" textlink="">
          <xdr:nvSpPr>
            <xdr:cNvPr id="4101" name="SecondaryAxis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16</xdr:row>
          <xdr:rowOff>180975</xdr:rowOff>
        </xdr:from>
        <xdr:to>
          <xdr:col>25</xdr:col>
          <xdr:colOff>628650</xdr:colOff>
          <xdr:row>18</xdr:row>
          <xdr:rowOff>9525</xdr:rowOff>
        </xdr:to>
        <xdr:sp macro="" textlink="">
          <xdr:nvSpPr>
            <xdr:cNvPr id="4102" name="SecondaryAxis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17</xdr:row>
          <xdr:rowOff>180975</xdr:rowOff>
        </xdr:from>
        <xdr:to>
          <xdr:col>25</xdr:col>
          <xdr:colOff>628650</xdr:colOff>
          <xdr:row>19</xdr:row>
          <xdr:rowOff>9525</xdr:rowOff>
        </xdr:to>
        <xdr:sp macro="" textlink="">
          <xdr:nvSpPr>
            <xdr:cNvPr id="4103" name="SecondaryAxis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18</xdr:row>
          <xdr:rowOff>180975</xdr:rowOff>
        </xdr:from>
        <xdr:to>
          <xdr:col>25</xdr:col>
          <xdr:colOff>628650</xdr:colOff>
          <xdr:row>20</xdr:row>
          <xdr:rowOff>9525</xdr:rowOff>
        </xdr:to>
        <xdr:sp macro="" textlink="">
          <xdr:nvSpPr>
            <xdr:cNvPr id="4104" name="SecondaryAxis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19</xdr:row>
          <xdr:rowOff>180975</xdr:rowOff>
        </xdr:from>
        <xdr:to>
          <xdr:col>25</xdr:col>
          <xdr:colOff>628650</xdr:colOff>
          <xdr:row>21</xdr:row>
          <xdr:rowOff>9525</xdr:rowOff>
        </xdr:to>
        <xdr:sp macro="" textlink="">
          <xdr:nvSpPr>
            <xdr:cNvPr id="4105" name="SecondaryAxis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20</xdr:row>
          <xdr:rowOff>180975</xdr:rowOff>
        </xdr:from>
        <xdr:to>
          <xdr:col>25</xdr:col>
          <xdr:colOff>628650</xdr:colOff>
          <xdr:row>22</xdr:row>
          <xdr:rowOff>9525</xdr:rowOff>
        </xdr:to>
        <xdr:sp macro="" textlink="">
          <xdr:nvSpPr>
            <xdr:cNvPr id="4106" name="SecondaryAxis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21</xdr:row>
          <xdr:rowOff>180975</xdr:rowOff>
        </xdr:from>
        <xdr:to>
          <xdr:col>25</xdr:col>
          <xdr:colOff>628650</xdr:colOff>
          <xdr:row>23</xdr:row>
          <xdr:rowOff>9525</xdr:rowOff>
        </xdr:to>
        <xdr:sp macro="" textlink="">
          <xdr:nvSpPr>
            <xdr:cNvPr id="4107" name="SecondaryAxis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22</xdr:row>
          <xdr:rowOff>180975</xdr:rowOff>
        </xdr:from>
        <xdr:to>
          <xdr:col>25</xdr:col>
          <xdr:colOff>628650</xdr:colOff>
          <xdr:row>24</xdr:row>
          <xdr:rowOff>9525</xdr:rowOff>
        </xdr:to>
        <xdr:sp macro="" textlink="">
          <xdr:nvSpPr>
            <xdr:cNvPr id="4108" name="SecondaryAxis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23</xdr:row>
          <xdr:rowOff>180975</xdr:rowOff>
        </xdr:from>
        <xdr:to>
          <xdr:col>25</xdr:col>
          <xdr:colOff>628650</xdr:colOff>
          <xdr:row>25</xdr:row>
          <xdr:rowOff>9525</xdr:rowOff>
        </xdr:to>
        <xdr:sp macro="" textlink="">
          <xdr:nvSpPr>
            <xdr:cNvPr id="4109" name="SecondaryAxis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24</xdr:row>
          <xdr:rowOff>180975</xdr:rowOff>
        </xdr:from>
        <xdr:to>
          <xdr:col>25</xdr:col>
          <xdr:colOff>628650</xdr:colOff>
          <xdr:row>26</xdr:row>
          <xdr:rowOff>9525</xdr:rowOff>
        </xdr:to>
        <xdr:sp macro="" textlink="">
          <xdr:nvSpPr>
            <xdr:cNvPr id="4110" name="SecondaryAxis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25</xdr:row>
          <xdr:rowOff>180975</xdr:rowOff>
        </xdr:from>
        <xdr:to>
          <xdr:col>25</xdr:col>
          <xdr:colOff>628650</xdr:colOff>
          <xdr:row>27</xdr:row>
          <xdr:rowOff>9525</xdr:rowOff>
        </xdr:to>
        <xdr:sp macro="" textlink="">
          <xdr:nvSpPr>
            <xdr:cNvPr id="4111" name="SecondaryAxis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26</xdr:row>
          <xdr:rowOff>180975</xdr:rowOff>
        </xdr:from>
        <xdr:to>
          <xdr:col>25</xdr:col>
          <xdr:colOff>628650</xdr:colOff>
          <xdr:row>28</xdr:row>
          <xdr:rowOff>9525</xdr:rowOff>
        </xdr:to>
        <xdr:sp macro="" textlink="">
          <xdr:nvSpPr>
            <xdr:cNvPr id="4112" name="SecondaryAxis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27</xdr:row>
          <xdr:rowOff>180975</xdr:rowOff>
        </xdr:from>
        <xdr:to>
          <xdr:col>25</xdr:col>
          <xdr:colOff>628650</xdr:colOff>
          <xdr:row>29</xdr:row>
          <xdr:rowOff>9525</xdr:rowOff>
        </xdr:to>
        <xdr:sp macro="" textlink="">
          <xdr:nvSpPr>
            <xdr:cNvPr id="4113" name="SecondaryAxis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28</xdr:row>
          <xdr:rowOff>180975</xdr:rowOff>
        </xdr:from>
        <xdr:to>
          <xdr:col>25</xdr:col>
          <xdr:colOff>628650</xdr:colOff>
          <xdr:row>30</xdr:row>
          <xdr:rowOff>9525</xdr:rowOff>
        </xdr:to>
        <xdr:sp macro="" textlink="">
          <xdr:nvSpPr>
            <xdr:cNvPr id="4114" name="SecondaryAxis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29</xdr:row>
          <xdr:rowOff>180975</xdr:rowOff>
        </xdr:from>
        <xdr:to>
          <xdr:col>25</xdr:col>
          <xdr:colOff>628650</xdr:colOff>
          <xdr:row>31</xdr:row>
          <xdr:rowOff>9525</xdr:rowOff>
        </xdr:to>
        <xdr:sp macro="" textlink="">
          <xdr:nvSpPr>
            <xdr:cNvPr id="4115" name="SecondaryAxis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30</xdr:row>
          <xdr:rowOff>180975</xdr:rowOff>
        </xdr:from>
        <xdr:to>
          <xdr:col>25</xdr:col>
          <xdr:colOff>628650</xdr:colOff>
          <xdr:row>32</xdr:row>
          <xdr:rowOff>9525</xdr:rowOff>
        </xdr:to>
        <xdr:sp macro="" textlink="">
          <xdr:nvSpPr>
            <xdr:cNvPr id="4116" name="SecondaryAxis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31</xdr:row>
          <xdr:rowOff>180975</xdr:rowOff>
        </xdr:from>
        <xdr:to>
          <xdr:col>25</xdr:col>
          <xdr:colOff>628650</xdr:colOff>
          <xdr:row>33</xdr:row>
          <xdr:rowOff>9525</xdr:rowOff>
        </xdr:to>
        <xdr:sp macro="" textlink="">
          <xdr:nvSpPr>
            <xdr:cNvPr id="4117" name="SecondaryAxis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32</xdr:row>
          <xdr:rowOff>180975</xdr:rowOff>
        </xdr:from>
        <xdr:to>
          <xdr:col>25</xdr:col>
          <xdr:colOff>628650</xdr:colOff>
          <xdr:row>34</xdr:row>
          <xdr:rowOff>9525</xdr:rowOff>
        </xdr:to>
        <xdr:sp macro="" textlink="">
          <xdr:nvSpPr>
            <xdr:cNvPr id="4118" name="SecondaryAxis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48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19" name="SecondaryAxis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49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20" name="SecondaryAxis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50</xdr:row>
          <xdr:rowOff>180975</xdr:rowOff>
        </xdr:from>
        <xdr:to>
          <xdr:col>25</xdr:col>
          <xdr:colOff>628650</xdr:colOff>
          <xdr:row>53</xdr:row>
          <xdr:rowOff>19050</xdr:rowOff>
        </xdr:to>
        <xdr:sp macro="" textlink="">
          <xdr:nvSpPr>
            <xdr:cNvPr id="4121" name="SecondaryAxis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574675</xdr:colOff>
      <xdr:row>12</xdr:row>
      <xdr:rowOff>28575</xdr:rowOff>
    </xdr:from>
    <xdr:to>
      <xdr:col>8</xdr:col>
      <xdr:colOff>219075</xdr:colOff>
      <xdr:row>28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561975</xdr:colOff>
      <xdr:row>12</xdr:row>
      <xdr:rowOff>22225</xdr:rowOff>
    </xdr:from>
    <xdr:to>
      <xdr:col>41</xdr:col>
      <xdr:colOff>254000</xdr:colOff>
      <xdr:row>28</xdr:row>
      <xdr:rowOff>149225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11</xdr:row>
          <xdr:rowOff>180975</xdr:rowOff>
        </xdr:from>
        <xdr:to>
          <xdr:col>25</xdr:col>
          <xdr:colOff>628650</xdr:colOff>
          <xdr:row>13</xdr:row>
          <xdr:rowOff>9525</xdr:rowOff>
        </xdr:to>
        <xdr:sp macro="" textlink="">
          <xdr:nvSpPr>
            <xdr:cNvPr id="6145" name="SecondaryAxis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12</xdr:row>
          <xdr:rowOff>180975</xdr:rowOff>
        </xdr:from>
        <xdr:to>
          <xdr:col>25</xdr:col>
          <xdr:colOff>628650</xdr:colOff>
          <xdr:row>14</xdr:row>
          <xdr:rowOff>9525</xdr:rowOff>
        </xdr:to>
        <xdr:sp macro="" textlink="">
          <xdr:nvSpPr>
            <xdr:cNvPr id="6146" name="SecondaryAxis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13</xdr:row>
          <xdr:rowOff>180975</xdr:rowOff>
        </xdr:from>
        <xdr:to>
          <xdr:col>25</xdr:col>
          <xdr:colOff>628650</xdr:colOff>
          <xdr:row>15</xdr:row>
          <xdr:rowOff>9525</xdr:rowOff>
        </xdr:to>
        <xdr:sp macro="" textlink="">
          <xdr:nvSpPr>
            <xdr:cNvPr id="6147" name="SecondaryAxis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14</xdr:row>
          <xdr:rowOff>180975</xdr:rowOff>
        </xdr:from>
        <xdr:to>
          <xdr:col>25</xdr:col>
          <xdr:colOff>628650</xdr:colOff>
          <xdr:row>16</xdr:row>
          <xdr:rowOff>9525</xdr:rowOff>
        </xdr:to>
        <xdr:sp macro="" textlink="">
          <xdr:nvSpPr>
            <xdr:cNvPr id="6148" name="SecondaryAxis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15</xdr:row>
          <xdr:rowOff>180975</xdr:rowOff>
        </xdr:from>
        <xdr:to>
          <xdr:col>25</xdr:col>
          <xdr:colOff>628650</xdr:colOff>
          <xdr:row>17</xdr:row>
          <xdr:rowOff>9525</xdr:rowOff>
        </xdr:to>
        <xdr:sp macro="" textlink="">
          <xdr:nvSpPr>
            <xdr:cNvPr id="6149" name="SecondaryAxis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16</xdr:row>
          <xdr:rowOff>180975</xdr:rowOff>
        </xdr:from>
        <xdr:to>
          <xdr:col>25</xdr:col>
          <xdr:colOff>628650</xdr:colOff>
          <xdr:row>18</xdr:row>
          <xdr:rowOff>9525</xdr:rowOff>
        </xdr:to>
        <xdr:sp macro="" textlink="">
          <xdr:nvSpPr>
            <xdr:cNvPr id="6150" name="SecondaryAxis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17</xdr:row>
          <xdr:rowOff>180975</xdr:rowOff>
        </xdr:from>
        <xdr:to>
          <xdr:col>25</xdr:col>
          <xdr:colOff>628650</xdr:colOff>
          <xdr:row>19</xdr:row>
          <xdr:rowOff>9525</xdr:rowOff>
        </xdr:to>
        <xdr:sp macro="" textlink="">
          <xdr:nvSpPr>
            <xdr:cNvPr id="6151" name="SecondaryAxis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18</xdr:row>
          <xdr:rowOff>180975</xdr:rowOff>
        </xdr:from>
        <xdr:to>
          <xdr:col>25</xdr:col>
          <xdr:colOff>628650</xdr:colOff>
          <xdr:row>20</xdr:row>
          <xdr:rowOff>9525</xdr:rowOff>
        </xdr:to>
        <xdr:sp macro="" textlink="">
          <xdr:nvSpPr>
            <xdr:cNvPr id="6152" name="SecondaryAxis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19</xdr:row>
          <xdr:rowOff>180975</xdr:rowOff>
        </xdr:from>
        <xdr:to>
          <xdr:col>25</xdr:col>
          <xdr:colOff>628650</xdr:colOff>
          <xdr:row>21</xdr:row>
          <xdr:rowOff>9525</xdr:rowOff>
        </xdr:to>
        <xdr:sp macro="" textlink="">
          <xdr:nvSpPr>
            <xdr:cNvPr id="6153" name="SecondaryAxis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20</xdr:row>
          <xdr:rowOff>180975</xdr:rowOff>
        </xdr:from>
        <xdr:to>
          <xdr:col>25</xdr:col>
          <xdr:colOff>628650</xdr:colOff>
          <xdr:row>22</xdr:row>
          <xdr:rowOff>9525</xdr:rowOff>
        </xdr:to>
        <xdr:sp macro="" textlink="">
          <xdr:nvSpPr>
            <xdr:cNvPr id="6154" name="SecondaryAxis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21</xdr:row>
          <xdr:rowOff>180975</xdr:rowOff>
        </xdr:from>
        <xdr:to>
          <xdr:col>25</xdr:col>
          <xdr:colOff>628650</xdr:colOff>
          <xdr:row>23</xdr:row>
          <xdr:rowOff>9525</xdr:rowOff>
        </xdr:to>
        <xdr:sp macro="" textlink="">
          <xdr:nvSpPr>
            <xdr:cNvPr id="6155" name="SecondaryAxis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22</xdr:row>
          <xdr:rowOff>180975</xdr:rowOff>
        </xdr:from>
        <xdr:to>
          <xdr:col>25</xdr:col>
          <xdr:colOff>628650</xdr:colOff>
          <xdr:row>24</xdr:row>
          <xdr:rowOff>9525</xdr:rowOff>
        </xdr:to>
        <xdr:sp macro="" textlink="">
          <xdr:nvSpPr>
            <xdr:cNvPr id="6156" name="SecondaryAxis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23</xdr:row>
          <xdr:rowOff>180975</xdr:rowOff>
        </xdr:from>
        <xdr:to>
          <xdr:col>25</xdr:col>
          <xdr:colOff>628650</xdr:colOff>
          <xdr:row>25</xdr:row>
          <xdr:rowOff>9525</xdr:rowOff>
        </xdr:to>
        <xdr:sp macro="" textlink="">
          <xdr:nvSpPr>
            <xdr:cNvPr id="6157" name="SecondaryAxis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24</xdr:row>
          <xdr:rowOff>180975</xdr:rowOff>
        </xdr:from>
        <xdr:to>
          <xdr:col>25</xdr:col>
          <xdr:colOff>628650</xdr:colOff>
          <xdr:row>26</xdr:row>
          <xdr:rowOff>9525</xdr:rowOff>
        </xdr:to>
        <xdr:sp macro="" textlink="">
          <xdr:nvSpPr>
            <xdr:cNvPr id="6158" name="SecondaryAxis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25</xdr:row>
          <xdr:rowOff>180975</xdr:rowOff>
        </xdr:from>
        <xdr:to>
          <xdr:col>25</xdr:col>
          <xdr:colOff>628650</xdr:colOff>
          <xdr:row>27</xdr:row>
          <xdr:rowOff>9525</xdr:rowOff>
        </xdr:to>
        <xdr:sp macro="" textlink="">
          <xdr:nvSpPr>
            <xdr:cNvPr id="6159" name="SecondaryAxis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26</xdr:row>
          <xdr:rowOff>180975</xdr:rowOff>
        </xdr:from>
        <xdr:to>
          <xdr:col>25</xdr:col>
          <xdr:colOff>628650</xdr:colOff>
          <xdr:row>28</xdr:row>
          <xdr:rowOff>9525</xdr:rowOff>
        </xdr:to>
        <xdr:sp macro="" textlink="">
          <xdr:nvSpPr>
            <xdr:cNvPr id="6160" name="SecondaryAxis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27</xdr:row>
          <xdr:rowOff>180975</xdr:rowOff>
        </xdr:from>
        <xdr:to>
          <xdr:col>25</xdr:col>
          <xdr:colOff>628650</xdr:colOff>
          <xdr:row>29</xdr:row>
          <xdr:rowOff>9525</xdr:rowOff>
        </xdr:to>
        <xdr:sp macro="" textlink="">
          <xdr:nvSpPr>
            <xdr:cNvPr id="6161" name="SecondaryAxis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28</xdr:row>
          <xdr:rowOff>180975</xdr:rowOff>
        </xdr:from>
        <xdr:to>
          <xdr:col>25</xdr:col>
          <xdr:colOff>628650</xdr:colOff>
          <xdr:row>30</xdr:row>
          <xdr:rowOff>9525</xdr:rowOff>
        </xdr:to>
        <xdr:sp macro="" textlink="">
          <xdr:nvSpPr>
            <xdr:cNvPr id="6162" name="SecondaryAxis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29</xdr:row>
          <xdr:rowOff>180975</xdr:rowOff>
        </xdr:from>
        <xdr:to>
          <xdr:col>25</xdr:col>
          <xdr:colOff>628650</xdr:colOff>
          <xdr:row>31</xdr:row>
          <xdr:rowOff>9525</xdr:rowOff>
        </xdr:to>
        <xdr:sp macro="" textlink="">
          <xdr:nvSpPr>
            <xdr:cNvPr id="6163" name="SecondaryAxis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30</xdr:row>
          <xdr:rowOff>180975</xdr:rowOff>
        </xdr:from>
        <xdr:to>
          <xdr:col>25</xdr:col>
          <xdr:colOff>628650</xdr:colOff>
          <xdr:row>32</xdr:row>
          <xdr:rowOff>9525</xdr:rowOff>
        </xdr:to>
        <xdr:sp macro="" textlink="">
          <xdr:nvSpPr>
            <xdr:cNvPr id="6164" name="SecondaryAxis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31</xdr:row>
          <xdr:rowOff>180975</xdr:rowOff>
        </xdr:from>
        <xdr:to>
          <xdr:col>25</xdr:col>
          <xdr:colOff>628650</xdr:colOff>
          <xdr:row>33</xdr:row>
          <xdr:rowOff>9525</xdr:rowOff>
        </xdr:to>
        <xdr:sp macro="" textlink="">
          <xdr:nvSpPr>
            <xdr:cNvPr id="6165" name="SecondaryAxis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32</xdr:row>
          <xdr:rowOff>180975</xdr:rowOff>
        </xdr:from>
        <xdr:to>
          <xdr:col>25</xdr:col>
          <xdr:colOff>628650</xdr:colOff>
          <xdr:row>34</xdr:row>
          <xdr:rowOff>9525</xdr:rowOff>
        </xdr:to>
        <xdr:sp macro="" textlink="">
          <xdr:nvSpPr>
            <xdr:cNvPr id="6166" name="SecondaryAxis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36</xdr:row>
          <xdr:rowOff>180975</xdr:rowOff>
        </xdr:from>
        <xdr:to>
          <xdr:col>25</xdr:col>
          <xdr:colOff>628650</xdr:colOff>
          <xdr:row>38</xdr:row>
          <xdr:rowOff>9525</xdr:rowOff>
        </xdr:to>
        <xdr:sp macro="" textlink="">
          <xdr:nvSpPr>
            <xdr:cNvPr id="6167" name="SecondaryAxis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37</xdr:row>
          <xdr:rowOff>180975</xdr:rowOff>
        </xdr:from>
        <xdr:to>
          <xdr:col>25</xdr:col>
          <xdr:colOff>628650</xdr:colOff>
          <xdr:row>39</xdr:row>
          <xdr:rowOff>9525</xdr:rowOff>
        </xdr:to>
        <xdr:sp macro="" textlink="">
          <xdr:nvSpPr>
            <xdr:cNvPr id="6168" name="SecondaryAxis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323850</xdr:colOff>
          <xdr:row>38</xdr:row>
          <xdr:rowOff>180975</xdr:rowOff>
        </xdr:from>
        <xdr:to>
          <xdr:col>25</xdr:col>
          <xdr:colOff>628650</xdr:colOff>
          <xdr:row>40</xdr:row>
          <xdr:rowOff>9525</xdr:rowOff>
        </xdr:to>
        <xdr:sp macro="" textlink="">
          <xdr:nvSpPr>
            <xdr:cNvPr id="6169" name="SecondaryAxis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12</xdr:row>
      <xdr:rowOff>76200</xdr:rowOff>
    </xdr:from>
    <xdr:to>
      <xdr:col>8</xdr:col>
      <xdr:colOff>28575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6</xdr:col>
      <xdr:colOff>247650</xdr:colOff>
      <xdr:row>22</xdr:row>
      <xdr:rowOff>107950</xdr:rowOff>
    </xdr:from>
    <xdr:to>
      <xdr:col>30</xdr:col>
      <xdr:colOff>244475</xdr:colOff>
      <xdr:row>39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29</xdr:col>
      <xdr:colOff>177800</xdr:colOff>
      <xdr:row>10</xdr:row>
      <xdr:rowOff>130175</xdr:rowOff>
    </xdr:from>
    <xdr:to>
      <xdr:col>45</xdr:col>
      <xdr:colOff>136525</xdr:colOff>
      <xdr:row>27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SIC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kace%20OK/PSIC%20&#8211;%20kopi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ICDATA"/>
      <sheetName val="PSICREPORT"/>
      <sheetName val="PSICSETTINGS"/>
    </sheetNames>
    <definedNames>
      <definedName name="LIM"/>
      <definedName name="STEPLOAD"/>
      <definedName name="SYMBOLIC"/>
      <definedName name="TIMEUNITS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ICDATA"/>
      <sheetName val="PSICREPORT"/>
      <sheetName val="PSICSETTINGS"/>
      <sheetName val="PSIC – kopie"/>
    </sheetNames>
    <definedNames>
      <definedName name="STEPLOA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13" Type="http://schemas.openxmlformats.org/officeDocument/2006/relationships/ctrlProp" Target="../ctrlProps/ctrlProp35.xml"/><Relationship Id="rId18" Type="http://schemas.openxmlformats.org/officeDocument/2006/relationships/ctrlProp" Target="../ctrlProps/ctrlProp40.xml"/><Relationship Id="rId26" Type="http://schemas.openxmlformats.org/officeDocument/2006/relationships/ctrlProp" Target="../ctrlProps/ctrlProp4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3.xml"/><Relationship Id="rId7" Type="http://schemas.openxmlformats.org/officeDocument/2006/relationships/ctrlProp" Target="../ctrlProps/ctrlProp29.xml"/><Relationship Id="rId12" Type="http://schemas.openxmlformats.org/officeDocument/2006/relationships/ctrlProp" Target="../ctrlProps/ctrlProp34.xml"/><Relationship Id="rId17" Type="http://schemas.openxmlformats.org/officeDocument/2006/relationships/ctrlProp" Target="../ctrlProps/ctrlProp39.xml"/><Relationship Id="rId25" Type="http://schemas.openxmlformats.org/officeDocument/2006/relationships/ctrlProp" Target="../ctrlProps/ctrlProp47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8.xml"/><Relationship Id="rId20" Type="http://schemas.openxmlformats.org/officeDocument/2006/relationships/ctrlProp" Target="../ctrlProps/ctrlProp4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8.xml"/><Relationship Id="rId11" Type="http://schemas.openxmlformats.org/officeDocument/2006/relationships/ctrlProp" Target="../ctrlProps/ctrlProp33.xml"/><Relationship Id="rId24" Type="http://schemas.openxmlformats.org/officeDocument/2006/relationships/ctrlProp" Target="../ctrlProps/ctrlProp46.xml"/><Relationship Id="rId5" Type="http://schemas.openxmlformats.org/officeDocument/2006/relationships/ctrlProp" Target="../ctrlProps/ctrlProp27.xml"/><Relationship Id="rId15" Type="http://schemas.openxmlformats.org/officeDocument/2006/relationships/ctrlProp" Target="../ctrlProps/ctrlProp37.xml"/><Relationship Id="rId23" Type="http://schemas.openxmlformats.org/officeDocument/2006/relationships/ctrlProp" Target="../ctrlProps/ctrlProp45.xml"/><Relationship Id="rId28" Type="http://schemas.openxmlformats.org/officeDocument/2006/relationships/ctrlProp" Target="../ctrlProps/ctrlProp50.xml"/><Relationship Id="rId10" Type="http://schemas.openxmlformats.org/officeDocument/2006/relationships/ctrlProp" Target="../ctrlProps/ctrlProp32.xml"/><Relationship Id="rId19" Type="http://schemas.openxmlformats.org/officeDocument/2006/relationships/ctrlProp" Target="../ctrlProps/ctrlProp41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Relationship Id="rId14" Type="http://schemas.openxmlformats.org/officeDocument/2006/relationships/ctrlProp" Target="../ctrlProps/ctrlProp36.xml"/><Relationship Id="rId22" Type="http://schemas.openxmlformats.org/officeDocument/2006/relationships/ctrlProp" Target="../ctrlProps/ctrlProp44.xml"/><Relationship Id="rId27" Type="http://schemas.openxmlformats.org/officeDocument/2006/relationships/ctrlProp" Target="../ctrlProps/ctrlProp4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FF0000"/>
  </sheetPr>
  <dimension ref="B2:B6"/>
  <sheetViews>
    <sheetView showGridLines="0" tabSelected="1" zoomScale="175" zoomScaleNormal="175" workbookViewId="0">
      <selection activeCell="B2" sqref="B2"/>
    </sheetView>
  </sheetViews>
  <sheetFormatPr defaultRowHeight="15" x14ac:dyDescent="0.25"/>
  <sheetData>
    <row r="2" spans="2:2" x14ac:dyDescent="0.25">
      <c r="B2" s="240" t="s">
        <v>112</v>
      </c>
    </row>
    <row r="4" spans="2:2" x14ac:dyDescent="0.25">
      <c r="B4" t="s">
        <v>115</v>
      </c>
    </row>
    <row r="5" spans="2:2" x14ac:dyDescent="0.25">
      <c r="B5" t="s">
        <v>113</v>
      </c>
    </row>
    <row r="6" spans="2:2" x14ac:dyDescent="0.25">
      <c r="B6" t="s">
        <v>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SICDATA">
    <tabColor rgb="FFFFFFB4"/>
  </sheetPr>
  <dimension ref="A1:AH1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2.7109375" style="173" customWidth="1"/>
    <col min="2" max="8" width="12.7109375" style="173" customWidth="1"/>
    <col min="9" max="9" width="4.7109375" style="173" customWidth="1"/>
    <col min="10" max="10" width="2.7109375" style="173" hidden="1" customWidth="1"/>
    <col min="11" max="13" width="12.7109375" style="173" hidden="1" customWidth="1"/>
    <col min="14" max="14" width="4.7109375" style="173" hidden="1" customWidth="1"/>
    <col min="15" max="15" width="2.7109375" style="173" customWidth="1"/>
    <col min="16" max="17" width="12.7109375" style="173" customWidth="1"/>
    <col min="18" max="21" width="6.7109375" style="173" customWidth="1"/>
    <col min="22" max="24" width="2.7109375" style="173" customWidth="1"/>
    <col min="25" max="27" width="12.7109375" style="173" customWidth="1"/>
    <col min="28" max="28" width="4.7109375" style="173" customWidth="1"/>
    <col min="29" max="29" width="12.7109375" style="173" customWidth="1"/>
    <col min="30" max="30" width="2.7109375" style="58" hidden="1" customWidth="1"/>
    <col min="31" max="32" width="20.7109375" style="58" hidden="1" customWidth="1"/>
    <col min="33" max="33" width="12.7109375" style="58" hidden="1" customWidth="1"/>
    <col min="34" max="34" width="9.140625" style="173" customWidth="1"/>
    <col min="35" max="16384" width="9.140625" style="173"/>
  </cols>
  <sheetData>
    <row r="1" spans="1:34" s="241" customFormat="1" ht="20.100000000000001" customHeight="1" x14ac:dyDescent="0.25"/>
    <row r="2" spans="1:34" s="2" customFormat="1" ht="12.75" customHeight="1" x14ac:dyDescent="0.25">
      <c r="A2" s="1" t="s">
        <v>61</v>
      </c>
      <c r="D2" s="3"/>
      <c r="AD2" s="4"/>
      <c r="AE2" s="4"/>
      <c r="AF2" s="4"/>
      <c r="AG2" s="4"/>
    </row>
    <row r="3" spans="1:34" s="2" customFormat="1" ht="12.75" customHeight="1" x14ac:dyDescent="0.25">
      <c r="A3" s="5" t="s">
        <v>83</v>
      </c>
      <c r="D3" s="3"/>
      <c r="AD3" s="4"/>
      <c r="AE3" s="4"/>
      <c r="AF3" s="4"/>
      <c r="AG3" s="4"/>
    </row>
    <row r="4" spans="1:34" s="2" customFormat="1" ht="12.75" customHeight="1" x14ac:dyDescent="0.25">
      <c r="A4" s="6"/>
      <c r="D4" s="3"/>
      <c r="P4" s="7"/>
      <c r="Q4" s="8"/>
      <c r="AD4" s="4"/>
      <c r="AE4" s="4"/>
      <c r="AF4" s="4"/>
      <c r="AG4" s="4"/>
    </row>
    <row r="5" spans="1:34" s="8" customFormat="1" ht="15" customHeight="1" x14ac:dyDescent="0.25">
      <c r="A5" s="9" t="s">
        <v>59</v>
      </c>
      <c r="B5" s="10"/>
      <c r="R5" s="2"/>
      <c r="S5" s="2"/>
      <c r="T5" s="2"/>
      <c r="U5" s="2"/>
      <c r="AD5" s="4"/>
      <c r="AE5" s="4"/>
      <c r="AF5" s="4"/>
      <c r="AG5" s="4"/>
    </row>
    <row r="6" spans="1:34" s="2" customFormat="1" ht="15" customHeight="1" x14ac:dyDescent="0.25">
      <c r="A6" s="11" t="s">
        <v>60</v>
      </c>
      <c r="B6" s="12"/>
      <c r="AD6" s="4"/>
      <c r="AE6" s="4"/>
      <c r="AF6" s="4"/>
      <c r="AG6" s="4"/>
    </row>
    <row r="7" spans="1:34" s="16" customFormat="1" ht="15" customHeight="1" x14ac:dyDescent="0.3">
      <c r="A7" s="13" t="s">
        <v>0</v>
      </c>
      <c r="B7" s="14"/>
      <c r="C7" s="15"/>
      <c r="D7" s="15"/>
      <c r="E7" s="15"/>
      <c r="F7" s="12"/>
      <c r="G7" s="12"/>
      <c r="H7" s="15"/>
      <c r="J7" s="13" t="s">
        <v>1</v>
      </c>
      <c r="K7" s="14"/>
      <c r="L7" s="15"/>
      <c r="M7" s="15"/>
      <c r="O7" s="13" t="s">
        <v>2</v>
      </c>
      <c r="P7" s="17"/>
      <c r="Q7" s="10"/>
      <c r="R7" s="18"/>
      <c r="S7" s="10"/>
      <c r="T7" s="10"/>
      <c r="U7" s="10"/>
      <c r="V7" s="19"/>
      <c r="W7" s="19"/>
      <c r="X7" s="20" t="s">
        <v>3</v>
      </c>
      <c r="AD7" s="21" t="s">
        <v>4</v>
      </c>
      <c r="AE7" s="22"/>
      <c r="AF7" s="23"/>
      <c r="AG7" s="24"/>
    </row>
    <row r="8" spans="1:34" s="2" customFormat="1" ht="15" customHeight="1" thickBot="1" x14ac:dyDescent="0.3">
      <c r="A8" s="25" t="s">
        <v>5</v>
      </c>
      <c r="B8" s="12"/>
      <c r="C8" s="10"/>
      <c r="D8" s="10"/>
      <c r="E8" s="10"/>
      <c r="F8" s="12"/>
      <c r="G8" s="12"/>
      <c r="H8" s="26"/>
      <c r="J8" s="25" t="s">
        <v>6</v>
      </c>
      <c r="K8" s="12"/>
      <c r="L8" s="10"/>
      <c r="M8" s="12"/>
      <c r="O8" s="25" t="s">
        <v>7</v>
      </c>
      <c r="P8" s="27"/>
      <c r="Q8" s="25"/>
      <c r="R8" s="19"/>
      <c r="S8" s="19"/>
      <c r="T8" s="19"/>
      <c r="U8" s="19"/>
      <c r="V8" s="19"/>
      <c r="W8" s="19"/>
      <c r="X8" s="25" t="s">
        <v>8</v>
      </c>
      <c r="Y8" s="27"/>
      <c r="Z8" s="10"/>
      <c r="AA8" s="12"/>
      <c r="AD8" s="28" t="str">
        <f>O8</f>
        <v>Integration Parameters</v>
      </c>
      <c r="AE8" s="28"/>
      <c r="AF8" s="29"/>
      <c r="AG8" s="30"/>
    </row>
    <row r="9" spans="1:34" s="2" customFormat="1" ht="15" customHeight="1" thickBot="1" x14ac:dyDescent="0.3">
      <c r="A9" s="31"/>
      <c r="B9" s="238" t="s">
        <v>9</v>
      </c>
      <c r="C9" s="32" t="s">
        <v>10</v>
      </c>
      <c r="D9" s="238" t="s">
        <v>11</v>
      </c>
      <c r="E9" s="238"/>
      <c r="F9" s="242" t="s">
        <v>12</v>
      </c>
      <c r="G9" s="242"/>
      <c r="H9" s="242"/>
      <c r="I9" s="33" t="str">
        <f>K15</f>
        <v>Set Point</v>
      </c>
      <c r="J9" s="34">
        <f>IF(ISNA(VLOOKUP(MeasuredVariable,ModelVariablesNames,1,FALSE)),0,1)</f>
        <v>0</v>
      </c>
      <c r="K9" s="243" t="s">
        <v>13</v>
      </c>
      <c r="L9" s="243"/>
      <c r="M9" s="35"/>
      <c r="N9" s="36"/>
      <c r="O9" s="37">
        <f>AND(NOT(TimeUnit=""),ISERR(FIND("|",TimeUnit)))+0</f>
        <v>1</v>
      </c>
      <c r="P9" s="243" t="s">
        <v>14</v>
      </c>
      <c r="Q9" s="243"/>
      <c r="R9" s="244" t="str">
        <f>IFERROR([1]!TIMEUNITS(ModelVariablesUnits),"")</f>
        <v>min</v>
      </c>
      <c r="S9" s="244"/>
      <c r="T9"/>
      <c r="U9"/>
      <c r="V9" s="36"/>
      <c r="W9" s="36"/>
      <c r="X9" s="37">
        <f>COUNTA(GraphLocation)</f>
        <v>1</v>
      </c>
      <c r="Y9" s="38" t="s">
        <v>15</v>
      </c>
      <c r="Z9" s="245" t="s">
        <v>106</v>
      </c>
      <c r="AA9" s="245"/>
      <c r="AD9" s="39"/>
      <c r="AE9" s="40" t="s">
        <v>16</v>
      </c>
      <c r="AF9" s="41"/>
      <c r="AG9" s="42">
        <f>IF(OR(NumSimulationValues=-1,ISERROR(FinalTime/MaxNumSimulatedValues)),-1,FinalTime/MaxNumSimulatedValues)</f>
        <v>0.01</v>
      </c>
      <c r="AH9" s="43"/>
    </row>
    <row r="10" spans="1:34" s="2" customFormat="1" ht="15" customHeight="1" thickBot="1" x14ac:dyDescent="0.3">
      <c r="A10" s="44">
        <f>COUNTA(B10:C10)</f>
        <v>2</v>
      </c>
      <c r="B10" s="45" t="s">
        <v>84</v>
      </c>
      <c r="C10" s="46">
        <v>15</v>
      </c>
      <c r="D10" s="246" t="s">
        <v>92</v>
      </c>
      <c r="E10" s="246"/>
      <c r="F10" s="246" t="s">
        <v>98</v>
      </c>
      <c r="G10" s="246"/>
      <c r="H10" s="246"/>
      <c r="I10" s="47" t="str">
        <f t="array" ref="I1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1)),IF(ISBLANK(ModelVariablesNames),"",IF(ISNUMBER(ModelVariablesNames),COUNTIF(ModelVariablesNames,"&lt;"&amp;ModelVariablesNames),COUNTIF(ModelVariablesNames,"&lt;"&amp;ModelVariablesNames)+SUM(IF(ISNUMBER(ModelVariablesNames),1,0))+1)),0)),)</f>
        <v>cp</v>
      </c>
      <c r="J10" s="37">
        <f>COUNTA(MeasuredVariableLower)</f>
        <v>0</v>
      </c>
      <c r="K10" s="247" t="s">
        <v>17</v>
      </c>
      <c r="L10" s="237" t="s">
        <v>18</v>
      </c>
      <c r="M10" s="48"/>
      <c r="N10" s="36"/>
      <c r="O10" s="49">
        <f>COUNTA(FinalTime)</f>
        <v>1</v>
      </c>
      <c r="P10" s="249" t="s">
        <v>19</v>
      </c>
      <c r="Q10" s="249"/>
      <c r="R10" s="250">
        <v>60</v>
      </c>
      <c r="S10" s="250"/>
      <c r="T10"/>
      <c r="U10"/>
      <c r="V10" s="36"/>
      <c r="W10" s="36"/>
      <c r="X10" s="50"/>
      <c r="AD10" s="39"/>
      <c r="AE10" s="51" t="s">
        <v>20</v>
      </c>
      <c r="AF10" s="52"/>
      <c r="AG10" s="53">
        <f>IF(OR(IntegrationStep=0,FinalTime=0),-1,TRUNC(FinalTime/IntegrationStep,0))</f>
        <v>600</v>
      </c>
      <c r="AH10" s="43"/>
    </row>
    <row r="11" spans="1:34" s="2" customFormat="1" ht="15" customHeight="1" thickBot="1" x14ac:dyDescent="0.3">
      <c r="A11" s="44">
        <f t="shared" ref="A11:A34" si="0">COUNTA(B11:C11)</f>
        <v>2</v>
      </c>
      <c r="B11" s="45" t="s">
        <v>85</v>
      </c>
      <c r="C11" s="54">
        <f>C10+C14*C15/C12/C16/C17</f>
        <v>40.794124671602574</v>
      </c>
      <c r="D11" s="251" t="s">
        <v>92</v>
      </c>
      <c r="E11" s="251"/>
      <c r="F11" s="251" t="s">
        <v>105</v>
      </c>
      <c r="G11" s="251"/>
      <c r="H11" s="251"/>
      <c r="I11" s="47" t="str">
        <f t="array" ref="I1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2)),IF(ISBLANK(ModelVariablesNames),"",IF(ISNUMBER(ModelVariablesNames),COUNTIF(ModelVariablesNames,"&lt;"&amp;ModelVariablesNames),COUNTIF(ModelVariablesNames,"&lt;"&amp;ModelVariablesNames)+SUM(IF(ISNUMBER(ModelVariablesNames),1,0))+1)),0)),)</f>
        <v>eta</v>
      </c>
      <c r="J11" s="37">
        <f>COUNTA(MeasuredVariableHigher)</f>
        <v>0</v>
      </c>
      <c r="K11" s="248"/>
      <c r="L11" s="55" t="s">
        <v>21</v>
      </c>
      <c r="M11" s="56"/>
      <c r="N11" s="36"/>
      <c r="O11" s="49">
        <f>COUNTA(IntegrationStep)</f>
        <v>1</v>
      </c>
      <c r="P11" s="249" t="s">
        <v>22</v>
      </c>
      <c r="Q11" s="249"/>
      <c r="R11" s="252">
        <v>0.1</v>
      </c>
      <c r="S11" s="252"/>
      <c r="T11"/>
      <c r="U11"/>
      <c r="V11" s="36"/>
      <c r="W11" s="36"/>
      <c r="X11" s="27" t="s">
        <v>23</v>
      </c>
      <c r="AA11" s="12"/>
      <c r="AD11" s="39"/>
      <c r="AE11" s="57"/>
      <c r="AF11" s="58"/>
      <c r="AG11" s="59"/>
      <c r="AH11" s="60"/>
    </row>
    <row r="12" spans="1:34" s="2" customFormat="1" ht="15" customHeight="1" thickBot="1" x14ac:dyDescent="0.3">
      <c r="A12" s="44">
        <f t="shared" si="0"/>
        <v>2</v>
      </c>
      <c r="B12" s="45" t="s">
        <v>86</v>
      </c>
      <c r="C12" s="54">
        <v>0.5</v>
      </c>
      <c r="D12" s="251" t="s">
        <v>93</v>
      </c>
      <c r="E12" s="251"/>
      <c r="F12" s="251" t="s">
        <v>99</v>
      </c>
      <c r="G12" s="251"/>
      <c r="H12" s="251"/>
      <c r="I12" s="47" t="str">
        <f t="array" ref="I1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3)),IF(ISBLANK(ModelVariablesNames),"",IF(ISNUMBER(ModelVariablesNames),COUNTIF(ModelVariablesNames,"&lt;"&amp;ModelVariablesNames),COUNTIF(ModelVariablesNames,"&lt;"&amp;ModelVariablesNames)+SUM(IF(ISNUMBER(ModelVariablesNames),1,0))+1)),0)),)</f>
        <v>F</v>
      </c>
      <c r="J12" s="31"/>
      <c r="K12" s="61"/>
      <c r="L12" s="61"/>
      <c r="M12" s="61"/>
      <c r="N12" s="36"/>
      <c r="O12" s="49">
        <f>COUNTA(IntegrationMethod)</f>
        <v>1</v>
      </c>
      <c r="P12" s="253" t="s">
        <v>24</v>
      </c>
      <c r="Q12" s="253"/>
      <c r="R12" s="254" t="s">
        <v>62</v>
      </c>
      <c r="S12" s="254"/>
      <c r="T12"/>
      <c r="U12"/>
      <c r="V12" s="36"/>
      <c r="W12" s="36"/>
      <c r="X12" s="62"/>
      <c r="Y12" s="238" t="s">
        <v>9</v>
      </c>
      <c r="Z12" s="63" t="s">
        <v>25</v>
      </c>
      <c r="AA12" s="64" t="s">
        <v>26</v>
      </c>
      <c r="AB12" s="19"/>
      <c r="AC12" s="19"/>
      <c r="AD12" s="65" t="s">
        <v>27</v>
      </c>
      <c r="AE12" s="66"/>
      <c r="AF12" s="67"/>
      <c r="AG12" s="68"/>
      <c r="AH12" s="60"/>
    </row>
    <row r="13" spans="1:34" s="2" customFormat="1" ht="15" customHeight="1" thickBot="1" x14ac:dyDescent="0.3">
      <c r="A13" s="44">
        <f t="shared" si="0"/>
        <v>2</v>
      </c>
      <c r="B13" s="45" t="s">
        <v>87</v>
      </c>
      <c r="C13" s="54">
        <v>5</v>
      </c>
      <c r="D13" s="251" t="s">
        <v>94</v>
      </c>
      <c r="E13" s="251"/>
      <c r="F13" s="251" t="s">
        <v>100</v>
      </c>
      <c r="G13" s="251"/>
      <c r="H13" s="251"/>
      <c r="I13" s="47" t="str">
        <f t="array" ref="I1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4)),IF(ISBLANK(ModelVariablesNames),"",IF(ISNUMBER(ModelVariablesNames),COUNTIF(ModelVariablesNames,"&lt;"&amp;ModelVariablesNames),COUNTIF(ModelVariablesNames,"&lt;"&amp;ModelVariablesNames)+SUM(IF(ISNUMBER(ModelVariablesNames),1,0))+1)),0)),)</f>
        <v>P</v>
      </c>
      <c r="J13" s="31" t="s">
        <v>28</v>
      </c>
      <c r="K13" s="69"/>
      <c r="L13" s="31"/>
      <c r="M13" s="69"/>
      <c r="N13" s="36"/>
      <c r="O13" s="70"/>
      <c r="P13" s="71"/>
      <c r="Q13" s="72"/>
      <c r="R13" s="70"/>
      <c r="S13" s="70"/>
      <c r="T13" s="70"/>
      <c r="U13" s="70"/>
      <c r="V13" s="36"/>
      <c r="W13" s="36"/>
      <c r="X13" s="73">
        <f t="shared" ref="X13" si="1">NOT(AND(ISNA(VLOOKUP(Y13,ModelVariablesNames,1,FALSE)),NOT(ISBLANK(Y13))))*COUNTA(Y13)+COUNTA(AA13)+0.5*AB13</f>
        <v>2</v>
      </c>
      <c r="Y13" s="74" t="s">
        <v>84</v>
      </c>
      <c r="Z13" s="75"/>
      <c r="AA13" s="76">
        <v>1</v>
      </c>
      <c r="AB13" s="77" t="b">
        <v>0</v>
      </c>
      <c r="AC13" s="78"/>
      <c r="AD13" s="39"/>
      <c r="AE13" s="40" t="s">
        <v>29</v>
      </c>
      <c r="AF13" s="41"/>
      <c r="AG13" s="42">
        <f>MinimalIntegrationStep</f>
        <v>0.01</v>
      </c>
      <c r="AH13" s="60"/>
    </row>
    <row r="14" spans="1:34" s="2" customFormat="1" ht="15" customHeight="1" thickBot="1" x14ac:dyDescent="0.3">
      <c r="A14" s="44">
        <f t="shared" si="0"/>
        <v>2</v>
      </c>
      <c r="B14" s="45" t="s">
        <v>88</v>
      </c>
      <c r="C14" s="54">
        <v>60</v>
      </c>
      <c r="D14" s="251" t="s">
        <v>97</v>
      </c>
      <c r="E14" s="251"/>
      <c r="F14" s="251" t="s">
        <v>101</v>
      </c>
      <c r="G14" s="251"/>
      <c r="H14" s="251"/>
      <c r="I14" s="47" t="str">
        <f t="array" ref="I1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5)),IF(ISBLANK(ModelVariablesNames),"",IF(ISNUMBER(ModelVariablesNames),COUNTIF(ModelVariablesNames,"&lt;"&amp;ModelVariablesNames),COUNTIF(ModelVariablesNames,"&lt;"&amp;ModelVariablesNames)+SUM(IF(ISNUMBER(ModelVariablesNames),1,0))+1)),0)),)</f>
        <v>ro</v>
      </c>
      <c r="J14" s="37">
        <f>IF(ISNA(VLOOKUP(ControlledVariable,ModelVariablesNames,1,FALSE)),0,1)</f>
        <v>0</v>
      </c>
      <c r="K14" s="243" t="s">
        <v>30</v>
      </c>
      <c r="L14" s="243"/>
      <c r="M14" s="35"/>
      <c r="N14" s="36"/>
      <c r="O14" s="31" t="s">
        <v>31</v>
      </c>
      <c r="P14" s="70"/>
      <c r="Q14" s="79"/>
      <c r="R14" s="80"/>
      <c r="S14" s="80"/>
      <c r="T14" s="81"/>
      <c r="U14" s="81"/>
      <c r="V14" s="36"/>
      <c r="W14" s="36"/>
      <c r="X14" s="73">
        <f t="shared" ref="X14" si="2">NOT(AND(ISNA(VLOOKUP(Y14,ModelVariablesNames,1,FALSE)),NOT(ISBLANK(Y14))))*COUNTA(Y14)+COUNTA(AA14)+0.5*AB14</f>
        <v>2</v>
      </c>
      <c r="Y14" s="82" t="s">
        <v>85</v>
      </c>
      <c r="Z14" s="83"/>
      <c r="AA14" s="84">
        <v>2</v>
      </c>
      <c r="AB14" s="77" t="b">
        <v>0</v>
      </c>
      <c r="AC14" s="78"/>
      <c r="AD14" s="85"/>
      <c r="AE14" s="51" t="s">
        <v>32</v>
      </c>
      <c r="AF14" s="52"/>
      <c r="AG14" s="53">
        <f>NumSimulationValues</f>
        <v>600</v>
      </c>
      <c r="AH14" s="60"/>
    </row>
    <row r="15" spans="1:34" s="2" customFormat="1" ht="15" customHeight="1" x14ac:dyDescent="0.25">
      <c r="A15" s="44">
        <f t="shared" si="0"/>
        <v>2</v>
      </c>
      <c r="B15" s="45" t="s">
        <v>89</v>
      </c>
      <c r="C15" s="239">
        <v>0.9</v>
      </c>
      <c r="D15" s="251"/>
      <c r="E15" s="251"/>
      <c r="F15" s="251" t="s">
        <v>102</v>
      </c>
      <c r="G15" s="251"/>
      <c r="H15" s="251"/>
      <c r="I15" s="47" t="str">
        <f t="array" ref="I1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6)),IF(ISBLANK(ModelVariablesNames),"",IF(ISNUMBER(ModelVariablesNames),COUNTIF(ModelVariablesNames,"&lt;"&amp;ModelVariablesNames),COUNTIF(ModelVariablesNames,"&lt;"&amp;ModelVariablesNames)+SUM(IF(ISNUMBER(ModelVariablesNames),1,0))+1)),0)),)</f>
        <v>T1</v>
      </c>
      <c r="J15" s="37">
        <f>COUNTA(SetPoint)</f>
        <v>0</v>
      </c>
      <c r="K15" s="249" t="s">
        <v>33</v>
      </c>
      <c r="L15" s="249"/>
      <c r="M15" s="86"/>
      <c r="N15" s="36"/>
      <c r="O15" s="70"/>
      <c r="P15" s="255" t="s">
        <v>9</v>
      </c>
      <c r="Q15" s="255" t="s">
        <v>34</v>
      </c>
      <c r="R15" s="257" t="s">
        <v>35</v>
      </c>
      <c r="S15" s="257"/>
      <c r="T15" s="258" t="s">
        <v>36</v>
      </c>
      <c r="U15" s="258"/>
      <c r="V15" s="36"/>
      <c r="W15" s="36"/>
      <c r="X15" s="73">
        <f t="shared" ref="X15" si="3">NOT(AND(ISNA(VLOOKUP(Y15,ModelVariablesNames,1,FALSE)),NOT(ISBLANK(Y15))))*COUNTA(Y15)+COUNTA(AA15)+0.5*AB15</f>
        <v>0</v>
      </c>
      <c r="Y15" s="82"/>
      <c r="Z15" s="83"/>
      <c r="AA15" s="84"/>
      <c r="AB15" s="77" t="b">
        <v>0</v>
      </c>
      <c r="AC15" s="78"/>
      <c r="AD15" s="85"/>
      <c r="AE15" s="57"/>
      <c r="AF15" s="58"/>
      <c r="AG15" s="59"/>
    </row>
    <row r="16" spans="1:34" s="2" customFormat="1" ht="15" customHeight="1" thickBot="1" x14ac:dyDescent="0.3">
      <c r="A16" s="44">
        <f t="shared" si="0"/>
        <v>2</v>
      </c>
      <c r="B16" s="45" t="s">
        <v>90</v>
      </c>
      <c r="C16" s="54">
        <v>1</v>
      </c>
      <c r="D16" s="251" t="s">
        <v>96</v>
      </c>
      <c r="E16" s="251"/>
      <c r="F16" s="251" t="s">
        <v>103</v>
      </c>
      <c r="G16" s="251"/>
      <c r="H16" s="251"/>
      <c r="I16" s="47" t="str">
        <f t="array" ref="I1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7)),IF(ISBLANK(ModelVariablesNames),"",IF(ISNUMBER(ModelVariablesNames),COUNTIF(ModelVariablesNames,"&lt;"&amp;ModelVariablesNames),COUNTIF(ModelVariablesNames,"&lt;"&amp;ModelVariablesNames)+SUM(IF(ISNUMBER(ModelVariablesNames),1,0))+1)),0)),)</f>
        <v>T2</v>
      </c>
      <c r="J16" s="37">
        <f>COUNTA(Mode)</f>
        <v>0</v>
      </c>
      <c r="K16" s="259" t="s">
        <v>37</v>
      </c>
      <c r="L16" s="259"/>
      <c r="M16" s="48"/>
      <c r="N16" s="36"/>
      <c r="O16" s="70"/>
      <c r="P16" s="256"/>
      <c r="Q16" s="256"/>
      <c r="R16" s="87" t="s">
        <v>38</v>
      </c>
      <c r="S16" s="88" t="s">
        <v>39</v>
      </c>
      <c r="T16" s="88" t="s">
        <v>40</v>
      </c>
      <c r="U16" s="88" t="s">
        <v>41</v>
      </c>
      <c r="V16" s="36"/>
      <c r="W16" s="36"/>
      <c r="X16" s="73">
        <f t="shared" ref="X16" si="4">NOT(AND(ISNA(VLOOKUP(Y16,ModelVariablesNames,1,FALSE)),NOT(ISBLANK(Y16))))*COUNTA(Y16)+COUNTA(AA16)+0.5*AB16</f>
        <v>0</v>
      </c>
      <c r="Y16" s="82"/>
      <c r="Z16" s="83"/>
      <c r="AA16" s="84"/>
      <c r="AB16" s="77" t="b">
        <v>0</v>
      </c>
      <c r="AC16" s="78"/>
      <c r="AD16" s="85"/>
      <c r="AE16" s="57"/>
      <c r="AF16" s="58"/>
      <c r="AG16" s="59"/>
    </row>
    <row r="17" spans="1:33" s="2" customFormat="1" ht="15" customHeight="1" x14ac:dyDescent="0.3">
      <c r="A17" s="44">
        <f t="shared" si="0"/>
        <v>2</v>
      </c>
      <c r="B17" s="45" t="s">
        <v>91</v>
      </c>
      <c r="C17" s="54">
        <v>4.1870000000000003</v>
      </c>
      <c r="D17" s="251" t="s">
        <v>95</v>
      </c>
      <c r="E17" s="251"/>
      <c r="F17" s="251" t="s">
        <v>104</v>
      </c>
      <c r="G17" s="251"/>
      <c r="H17" s="251"/>
      <c r="I17" s="47" t="str">
        <f t="array" ref="I1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8)),IF(ISBLANK(ModelVariablesNames),"",IF(ISNUMBER(ModelVariablesNames),COUNTIF(ModelVariablesNames,"&lt;"&amp;ModelVariablesNames),COUNTIF(ModelVariablesNames,"&lt;"&amp;ModelVariablesNames)+SUM(IF(ISNUMBER(ModelVariablesNames),1,0))+1)),0)),)</f>
        <v>V</v>
      </c>
      <c r="J17" s="89"/>
      <c r="K17" s="260" t="s">
        <v>42</v>
      </c>
      <c r="L17" s="260"/>
      <c r="M17" s="61"/>
      <c r="N17" s="36"/>
      <c r="O17" s="90">
        <f t="shared" ref="O17" si="5">IF(V17=0,COUNTA(P17:Q17),ISTEXT(VLOOKUP(P17,$I$9:$I$34,1,FALSE))*COUNTA(P17)+1+COUNTA(R17)+CHOOSE(V17,(T17&lt;FinalTime)*COUNTA(T17)+2,(T17&lt;FinalTime)*COUNTA(T17)+(U17&lt;=FinalTime)*(U17&gt;T17)*COUNTA(U17)+1,COUNTA(S17)+(T17&lt;FinalTime)*COUNTA(T17)+(U17&lt;=FinalTime)*(U17&gt;T17)*COUNTA(U17)))</f>
        <v>6</v>
      </c>
      <c r="P17" s="91" t="s">
        <v>84</v>
      </c>
      <c r="Q17" s="92" t="s">
        <v>63</v>
      </c>
      <c r="R17" s="175">
        <v>5</v>
      </c>
      <c r="S17" s="94"/>
      <c r="T17" s="175">
        <v>5</v>
      </c>
      <c r="U17" s="93">
        <f>IF(AND(FinalTime&gt;0,T17&lt;FinalTime),FinalTime,"")</f>
        <v>60</v>
      </c>
      <c r="V17" s="95">
        <f>IF(Q17="step",1,IF(Q17="ramp",2,IF(Q17="sinus",3,)))</f>
        <v>1</v>
      </c>
      <c r="W17" s="96" t="str">
        <f>IFERROR(INDEX(LoadVariablesNames,MATCH(0,INDEX(COUNTIF($W$16:W16,LoadVariablesNames),,),)),0)</f>
        <v>T1</v>
      </c>
      <c r="X17" s="73">
        <f t="shared" ref="X17" si="6">NOT(AND(ISNA(VLOOKUP(Y17,ModelVariablesNames,1,FALSE)),NOT(ISBLANK(Y17))))*COUNTA(Y17)+COUNTA(AA17)+0.5*AB17</f>
        <v>0</v>
      </c>
      <c r="Y17" s="82"/>
      <c r="Z17" s="83"/>
      <c r="AA17" s="84"/>
      <c r="AB17" s="77" t="b">
        <v>0</v>
      </c>
      <c r="AC17" s="78"/>
      <c r="AD17" s="97" t="s">
        <v>43</v>
      </c>
      <c r="AE17" s="98"/>
      <c r="AF17" s="99"/>
      <c r="AG17" s="59"/>
    </row>
    <row r="18" spans="1:33" s="2" customFormat="1" ht="15" customHeight="1" x14ac:dyDescent="0.25">
      <c r="A18" s="44">
        <f t="shared" si="0"/>
        <v>0</v>
      </c>
      <c r="B18" s="45"/>
      <c r="C18" s="54"/>
      <c r="D18" s="251"/>
      <c r="E18" s="251"/>
      <c r="F18" s="251"/>
      <c r="G18" s="251"/>
      <c r="H18" s="251"/>
      <c r="I18" s="47">
        <f t="array" ref="I1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8" s="37">
        <f>COUNTA(Action)</f>
        <v>0</v>
      </c>
      <c r="K18" s="249" t="s">
        <v>44</v>
      </c>
      <c r="L18" s="249"/>
      <c r="M18" s="48"/>
      <c r="N18" s="100">
        <f>IF(Action="P",1,IF(Action="PI",2,IF(Action="PD",3,IF(Action="PID","4",))))</f>
        <v>0</v>
      </c>
      <c r="O18" s="90">
        <f t="shared" ref="O18" si="7">IF(V18=0,COUNTA(P18:Q18),ISTEXT(VLOOKUP(P18,$I$9:$I$34,1,FALSE))*COUNTA(P18)+1+COUNTA(R18)+CHOOSE(V18,(T18&lt;FinalTime)*COUNTA(T18)+2,(T18&lt;FinalTime)*COUNTA(T18)+(U18&lt;=FinalTime)*(U18&gt;T18)*COUNTA(U18)+1,COUNTA(S18)+(T18&lt;FinalTime)*COUNTA(T18)+(U18&lt;=FinalTime)*(U18&gt;T18)*COUNTA(U18)))</f>
        <v>0</v>
      </c>
      <c r="P18" s="101"/>
      <c r="Q18" s="102"/>
      <c r="R18" s="103"/>
      <c r="S18" s="104"/>
      <c r="T18" s="103"/>
      <c r="U18" s="103"/>
      <c r="V18" s="95">
        <f t="shared" ref="V18:V34" si="8">IF(Q18="step",1,IF(Q18="ramp",2,IF(Q18="sinus",3,)))</f>
        <v>0</v>
      </c>
      <c r="W18" s="96">
        <f>IFERROR(INDEX(LoadVariablesNames,MATCH(0,INDEX(COUNTIF($W$16:W17,LoadVariablesNames),,),)),0)</f>
        <v>0</v>
      </c>
      <c r="X18" s="73">
        <f t="shared" ref="X18" si="9">NOT(AND(ISNA(VLOOKUP(Y18,ModelVariablesNames,1,FALSE)),NOT(ISBLANK(Y18))))*COUNTA(Y18)+COUNTA(AA18)+0.5*AB18</f>
        <v>0</v>
      </c>
      <c r="Y18" s="82"/>
      <c r="Z18" s="83"/>
      <c r="AA18" s="84"/>
      <c r="AB18" s="77" t="b">
        <v>0</v>
      </c>
      <c r="AC18" s="78"/>
      <c r="AD18" s="65" t="s">
        <v>45</v>
      </c>
      <c r="AE18" s="57"/>
      <c r="AF18" s="58"/>
      <c r="AG18" s="105" t="b">
        <f>COUNTIF(AG20:AG27,"=PRAVDA")=COUNTA(AG20:AG27)</f>
        <v>1</v>
      </c>
    </row>
    <row r="19" spans="1:33" s="2" customFormat="1" ht="15" customHeight="1" thickBot="1" x14ac:dyDescent="0.3">
      <c r="A19" s="44">
        <f t="shared" si="0"/>
        <v>0</v>
      </c>
      <c r="B19" s="45"/>
      <c r="C19" s="54"/>
      <c r="D19" s="251"/>
      <c r="E19" s="251"/>
      <c r="F19" s="251"/>
      <c r="G19" s="251"/>
      <c r="H19" s="251"/>
      <c r="I19" s="47">
        <f t="array" ref="I1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9" s="37">
        <f>COUNTA(r0)</f>
        <v>0</v>
      </c>
      <c r="K19" s="259" t="s">
        <v>46</v>
      </c>
      <c r="L19" s="259"/>
      <c r="M19" s="48"/>
      <c r="N19" s="36"/>
      <c r="O19" s="90">
        <f t="shared" ref="O19" si="10">IF(V19=0,COUNTA(P19:Q19),ISTEXT(VLOOKUP(P19,$I$9:$I$34,1,FALSE))*COUNTA(P19)+1+COUNTA(R19)+CHOOSE(V19,(T19&lt;FinalTime)*COUNTA(T19)+2,(T19&lt;FinalTime)*COUNTA(T19)+(U19&lt;=FinalTime)*(U19&gt;T19)*COUNTA(U19)+1,COUNTA(S19)+(T19&lt;FinalTime)*COUNTA(T19)+(U19&lt;=FinalTime)*(U19&gt;T19)*COUNTA(U19)))</f>
        <v>0</v>
      </c>
      <c r="P19" s="101"/>
      <c r="Q19" s="102"/>
      <c r="R19" s="103"/>
      <c r="S19" s="104"/>
      <c r="T19" s="103"/>
      <c r="U19" s="103"/>
      <c r="V19" s="95">
        <f t="shared" si="8"/>
        <v>0</v>
      </c>
      <c r="W19" s="96">
        <f>IFERROR(INDEX(LoadVariablesNames,MATCH(0,INDEX(COUNTIF($W$16:W18,LoadVariablesNames),,),)),0)</f>
        <v>0</v>
      </c>
      <c r="X19" s="73">
        <f t="shared" ref="X19" si="11">NOT(AND(ISNA(VLOOKUP(Y19,ModelVariablesNames,1,FALSE)),NOT(ISBLANK(Y19))))*COUNTA(Y19)+COUNTA(AA19)+0.5*AB19</f>
        <v>0</v>
      </c>
      <c r="Y19" s="82"/>
      <c r="Z19" s="83"/>
      <c r="AA19" s="84"/>
      <c r="AB19" s="77" t="b">
        <v>0</v>
      </c>
      <c r="AC19" s="78"/>
      <c r="AD19" s="106" t="str">
        <f>A7</f>
        <v>MODEL</v>
      </c>
      <c r="AE19" s="66"/>
      <c r="AF19" s="107"/>
      <c r="AG19" s="59"/>
    </row>
    <row r="20" spans="1:33" s="2" customFormat="1" ht="15" customHeight="1" x14ac:dyDescent="0.25">
      <c r="A20" s="44">
        <f t="shared" si="0"/>
        <v>0</v>
      </c>
      <c r="B20" s="45"/>
      <c r="C20" s="54"/>
      <c r="D20" s="251"/>
      <c r="E20" s="251"/>
      <c r="F20" s="251"/>
      <c r="G20" s="251"/>
      <c r="H20" s="251"/>
      <c r="I20" s="47">
        <f t="array" ref="I2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0" s="37">
        <f>COUNTA(Ti)</f>
        <v>0</v>
      </c>
      <c r="K20" s="259" t="s">
        <v>47</v>
      </c>
      <c r="L20" s="259"/>
      <c r="M20" s="108"/>
      <c r="N20" s="36"/>
      <c r="O20" s="90">
        <f t="shared" ref="O20" si="12">IF(V20=0,COUNTA(P20:Q20),ISTEXT(VLOOKUP(P20,$I$9:$I$34,1,FALSE))*COUNTA(P20)+1+COUNTA(R20)+CHOOSE(V20,(T20&lt;FinalTime)*COUNTA(T20)+2,(T20&lt;FinalTime)*COUNTA(T20)+(U20&lt;=FinalTime)*(U20&gt;T20)*COUNTA(U20)+1,COUNTA(S20)+(T20&lt;FinalTime)*COUNTA(T20)+(U20&lt;=FinalTime)*(U20&gt;T20)*COUNTA(U20)))</f>
        <v>0</v>
      </c>
      <c r="P20" s="101"/>
      <c r="Q20" s="102"/>
      <c r="R20" s="103"/>
      <c r="S20" s="104"/>
      <c r="T20" s="103"/>
      <c r="U20" s="103"/>
      <c r="V20" s="95">
        <f t="shared" si="8"/>
        <v>0</v>
      </c>
      <c r="W20" s="96">
        <f>IFERROR(INDEX(LoadVariablesNames,MATCH(0,INDEX(COUNTIF($W$16:W19,LoadVariablesNames),,),)),0)</f>
        <v>0</v>
      </c>
      <c r="X20" s="73">
        <f t="shared" ref="X20" si="13">NOT(AND(ISNA(VLOOKUP(Y20,ModelVariablesNames,1,FALSE)),NOT(ISBLANK(Y20))))*COUNTA(Y20)+COUNTA(AA20)+0.5*AB20</f>
        <v>0</v>
      </c>
      <c r="Y20" s="109"/>
      <c r="Z20" s="110"/>
      <c r="AA20" s="111"/>
      <c r="AB20" s="77" t="b">
        <v>0</v>
      </c>
      <c r="AC20" s="78"/>
      <c r="AD20" s="39"/>
      <c r="AE20" s="40" t="str">
        <f>A8</f>
        <v>Model Variables and Constants</v>
      </c>
      <c r="AF20" s="41"/>
      <c r="AG20" s="112" t="b">
        <f>AND(COUNTIF($A$10:$A$34,"=2")&gt;0,COUNTIF($A$10:$A$34,"=1")=0)</f>
        <v>1</v>
      </c>
    </row>
    <row r="21" spans="1:33" s="2" customFormat="1" ht="15" customHeight="1" thickBot="1" x14ac:dyDescent="0.3">
      <c r="A21" s="44">
        <f t="shared" si="0"/>
        <v>0</v>
      </c>
      <c r="B21" s="45"/>
      <c r="C21" s="54"/>
      <c r="D21" s="251"/>
      <c r="E21" s="251"/>
      <c r="F21" s="251"/>
      <c r="G21" s="251"/>
      <c r="H21" s="251"/>
      <c r="I21" s="47">
        <f t="array" ref="I2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1" s="90">
        <f>COUNTA(Td)</f>
        <v>0</v>
      </c>
      <c r="K21" s="261" t="s">
        <v>48</v>
      </c>
      <c r="L21" s="261"/>
      <c r="M21" s="56"/>
      <c r="N21" s="36"/>
      <c r="O21" s="90">
        <f t="shared" ref="O21" si="14">IF(V21=0,COUNTA(P21:Q21),ISTEXT(VLOOKUP(P21,$I$9:$I$34,1,FALSE))*COUNTA(P21)+1+COUNTA(R21)+CHOOSE(V21,(T21&lt;FinalTime)*COUNTA(T21)+2,(T21&lt;FinalTime)*COUNTA(T21)+(U21&lt;=FinalTime)*(U21&gt;T21)*COUNTA(U21)+1,COUNTA(S21)+(T21&lt;FinalTime)*COUNTA(T21)+(U21&lt;=FinalTime)*(U21&gt;T21)*COUNTA(U21)))</f>
        <v>0</v>
      </c>
      <c r="P21" s="101"/>
      <c r="Q21" s="102"/>
      <c r="R21" s="103"/>
      <c r="S21" s="104"/>
      <c r="T21" s="103"/>
      <c r="U21" s="103"/>
      <c r="V21" s="95">
        <f t="shared" si="8"/>
        <v>0</v>
      </c>
      <c r="W21" s="96">
        <f>IFERROR(INDEX(LoadVariablesNames,MATCH(0,INDEX(COUNTIF($W$16:W20,LoadVariablesNames),,),)),0)</f>
        <v>0</v>
      </c>
      <c r="X21" s="73">
        <f t="shared" ref="X21" si="15">NOT(AND(ISNA(VLOOKUP(Y21,ModelVariablesNames,1,FALSE)),NOT(ISBLANK(Y21))))*COUNTA(Y21)+COUNTA(AA21)+0.5*AB21</f>
        <v>0</v>
      </c>
      <c r="Y21" s="109"/>
      <c r="Z21" s="110"/>
      <c r="AA21" s="111"/>
      <c r="AB21" s="77" t="b">
        <v>0</v>
      </c>
      <c r="AC21" s="78"/>
      <c r="AD21" s="39"/>
      <c r="AE21" s="113" t="str">
        <f>A36</f>
        <v>Model First-order ODEs</v>
      </c>
      <c r="AF21" s="114"/>
      <c r="AG21" s="115" t="b">
        <f t="array" ref="AG21">AND(AND(COUNTIF($A$38:$A$47,"=2")&gt;0,COUNTIF($A$38:$A$47,"=1")=0),SUMSQ(COUNTIF(ModelVariablesNames,ModelODEsVariables)))</f>
        <v>1</v>
      </c>
    </row>
    <row r="22" spans="1:33" s="2" customFormat="1" ht="15" customHeight="1" x14ac:dyDescent="0.25">
      <c r="A22" s="44">
        <f t="shared" si="0"/>
        <v>0</v>
      </c>
      <c r="B22" s="45"/>
      <c r="C22" s="54"/>
      <c r="D22" s="251"/>
      <c r="E22" s="251"/>
      <c r="F22" s="251"/>
      <c r="G22" s="251"/>
      <c r="H22" s="251"/>
      <c r="I22" s="47">
        <f t="array" ref="I2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2" s="89"/>
      <c r="K22" s="61"/>
      <c r="L22" s="61"/>
      <c r="M22" s="61"/>
      <c r="N22" s="36"/>
      <c r="O22" s="90">
        <f t="shared" ref="O22" si="16">IF(V22=0,COUNTA(P22:Q22),ISTEXT(VLOOKUP(P22,$I$9:$I$34,1,FALSE))*COUNTA(P22)+1+COUNTA(R22)+CHOOSE(V22,(T22&lt;FinalTime)*COUNTA(T22)+2,(T22&lt;FinalTime)*COUNTA(T22)+(U22&lt;=FinalTime)*(U22&gt;T22)*COUNTA(U22)+1,COUNTA(S22)+(T22&lt;FinalTime)*COUNTA(T22)+(U22&lt;=FinalTime)*(U22&gt;T22)*COUNTA(U22)))</f>
        <v>0</v>
      </c>
      <c r="P22" s="101"/>
      <c r="Q22" s="102"/>
      <c r="R22" s="103"/>
      <c r="S22" s="104"/>
      <c r="T22" s="103"/>
      <c r="U22" s="103"/>
      <c r="V22" s="95">
        <f t="shared" si="8"/>
        <v>0</v>
      </c>
      <c r="W22" s="96">
        <f>IFERROR(INDEX(LoadVariablesNames,MATCH(0,INDEX(COUNTIF($W$16:W21,LoadVariablesNames),,),)),0)</f>
        <v>0</v>
      </c>
      <c r="X22" s="73">
        <f t="shared" ref="X22" si="17">NOT(AND(ISNA(VLOOKUP(Y22,ModelVariablesNames,1,FALSE)),NOT(ISBLANK(Y22))))*COUNTA(Y22)+COUNTA(AA22)+0.5*AB22</f>
        <v>0</v>
      </c>
      <c r="Y22" s="109"/>
      <c r="Z22" s="110"/>
      <c r="AA22" s="111"/>
      <c r="AB22" s="77" t="b">
        <v>0</v>
      </c>
      <c r="AC22" s="78"/>
      <c r="AD22" s="116" t="str">
        <f>O7</f>
        <v>SIMULATION</v>
      </c>
      <c r="AE22" s="57"/>
      <c r="AF22" s="58"/>
      <c r="AG22" s="115"/>
    </row>
    <row r="23" spans="1:33" s="2" customFormat="1" ht="15" customHeight="1" thickBot="1" x14ac:dyDescent="0.3">
      <c r="A23" s="44">
        <f t="shared" si="0"/>
        <v>0</v>
      </c>
      <c r="B23" s="45"/>
      <c r="C23" s="54"/>
      <c r="D23" s="251"/>
      <c r="E23" s="251"/>
      <c r="F23" s="251"/>
      <c r="G23" s="251"/>
      <c r="H23" s="251"/>
      <c r="I23" s="47">
        <f t="array" ref="I2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3" s="31" t="s">
        <v>49</v>
      </c>
      <c r="K23" s="69"/>
      <c r="L23" s="31"/>
      <c r="M23" s="69"/>
      <c r="N23" s="36"/>
      <c r="O23" s="90">
        <f t="shared" ref="O23" si="18">IF(V23=0,COUNTA(P23:Q23),ISTEXT(VLOOKUP(P23,$I$9:$I$34,1,FALSE))*COUNTA(P23)+1+COUNTA(R23)+CHOOSE(V23,(T23&lt;FinalTime)*COUNTA(T23)+2,(T23&lt;FinalTime)*COUNTA(T23)+(U23&lt;=FinalTime)*(U23&gt;T23)*COUNTA(U23)+1,COUNTA(S23)+(T23&lt;FinalTime)*COUNTA(T23)+(U23&lt;=FinalTime)*(U23&gt;T23)*COUNTA(U23)))</f>
        <v>0</v>
      </c>
      <c r="P23" s="101"/>
      <c r="Q23" s="102"/>
      <c r="R23" s="103"/>
      <c r="S23" s="104"/>
      <c r="T23" s="103"/>
      <c r="U23" s="103"/>
      <c r="V23" s="95">
        <f t="shared" si="8"/>
        <v>0</v>
      </c>
      <c r="W23" s="96">
        <f>IFERROR(INDEX(LoadVariablesNames,MATCH(0,INDEX(COUNTIF($W$16:W22,LoadVariablesNames),,),)),0)</f>
        <v>0</v>
      </c>
      <c r="X23" s="73">
        <f t="shared" ref="X23" si="19">NOT(AND(ISNA(VLOOKUP(Y23,ModelVariablesNames,1,FALSE)),NOT(ISBLANK(Y23))))*COUNTA(Y23)+COUNTA(AA23)+0.5*AB23</f>
        <v>0</v>
      </c>
      <c r="Y23" s="109"/>
      <c r="Z23" s="110"/>
      <c r="AA23" s="111"/>
      <c r="AB23" s="117" t="b">
        <v>0</v>
      </c>
      <c r="AC23" s="118"/>
      <c r="AD23" s="39"/>
      <c r="AE23" s="113" t="str">
        <f>O8</f>
        <v>Integration Parameters</v>
      </c>
      <c r="AF23" s="114"/>
      <c r="AG23" s="115" t="b">
        <f>SUM($O$9:$O$12)=4</f>
        <v>1</v>
      </c>
    </row>
    <row r="24" spans="1:33" s="2" customFormat="1" ht="15" customHeight="1" x14ac:dyDescent="0.25">
      <c r="A24" s="44">
        <f t="shared" si="0"/>
        <v>0</v>
      </c>
      <c r="B24" s="45"/>
      <c r="C24" s="54"/>
      <c r="D24" s="251"/>
      <c r="E24" s="251"/>
      <c r="F24" s="251"/>
      <c r="G24" s="251"/>
      <c r="H24" s="251"/>
      <c r="I24" s="47">
        <f t="array" ref="I2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15)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4" s="37">
        <f>IF(ISNA(VLOOKUP(ManipulatedVariable,ModelVariablesNames,1,FALSE)),0,1)</f>
        <v>0</v>
      </c>
      <c r="K24" s="243" t="s">
        <v>50</v>
      </c>
      <c r="L24" s="243"/>
      <c r="M24" s="35"/>
      <c r="N24" s="36"/>
      <c r="O24" s="90">
        <f t="shared" ref="O24" si="20">IF(V24=0,COUNTA(P24:Q24),ISTEXT(VLOOKUP(P24,$I$9:$I$34,1,FALSE))*COUNTA(P24)+1+COUNTA(R24)+CHOOSE(V24,(T24&lt;FinalTime)*COUNTA(T24)+2,(T24&lt;FinalTime)*COUNTA(T24)+(U24&lt;=FinalTime)*(U24&gt;T24)*COUNTA(U24)+1,COUNTA(S24)+(T24&lt;FinalTime)*COUNTA(T24)+(U24&lt;=FinalTime)*(U24&gt;T24)*COUNTA(U24)))</f>
        <v>0</v>
      </c>
      <c r="P24" s="101"/>
      <c r="Q24" s="102"/>
      <c r="R24" s="103"/>
      <c r="S24" s="104"/>
      <c r="T24" s="103"/>
      <c r="U24" s="103"/>
      <c r="V24" s="95">
        <f t="shared" si="8"/>
        <v>0</v>
      </c>
      <c r="W24" s="96">
        <f>IFERROR(INDEX(LoadVariablesNames,MATCH(0,INDEX(COUNTIF($W$16:W23,LoadVariablesNames),,),)),0)</f>
        <v>0</v>
      </c>
      <c r="X24" s="73">
        <f t="shared" ref="X24" si="21">NOT(AND(ISNA(VLOOKUP(Y24,ModelVariablesNames,1,FALSE)),NOT(ISBLANK(Y24))))*COUNTA(Y24)+COUNTA(AA24)+0.5*AB24</f>
        <v>0</v>
      </c>
      <c r="Y24" s="109"/>
      <c r="Z24" s="110"/>
      <c r="AA24" s="111"/>
      <c r="AB24" s="117" t="b">
        <v>0</v>
      </c>
      <c r="AC24" s="118"/>
      <c r="AD24" s="39"/>
      <c r="AE24" s="113" t="str">
        <f>O14</f>
        <v>Disturbances</v>
      </c>
      <c r="AF24" s="114"/>
      <c r="AG24" s="119" t="b">
        <f>OR(SUM($O$17:$O$34)=0,COUNTIFS($O$17:$O$34,"&gt;0",$O$17:$O$34,"&lt;6")=0)</f>
        <v>1</v>
      </c>
    </row>
    <row r="25" spans="1:33" s="2" customFormat="1" ht="15" customHeight="1" x14ac:dyDescent="0.25">
      <c r="A25" s="44">
        <f t="shared" si="0"/>
        <v>0</v>
      </c>
      <c r="B25" s="45"/>
      <c r="C25" s="54"/>
      <c r="D25" s="251"/>
      <c r="E25" s="251"/>
      <c r="F25" s="251"/>
      <c r="G25" s="251"/>
      <c r="H25" s="251"/>
      <c r="I25" s="47">
        <f t="array" ref="I2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16)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5" s="49">
        <f>COUNTA(ManipulatedVariableLower)</f>
        <v>0</v>
      </c>
      <c r="K25" s="247" t="s">
        <v>17</v>
      </c>
      <c r="L25" s="237" t="s">
        <v>18</v>
      </c>
      <c r="M25" s="48"/>
      <c r="N25" s="36"/>
      <c r="O25" s="90">
        <f t="shared" ref="O25" si="22">IF(V25=0,COUNTA(P25:Q25),ISTEXT(VLOOKUP(P25,$I$9:$I$34,1,FALSE))*COUNTA(P25)+1+COUNTA(R25)+CHOOSE(V25,(T25&lt;FinalTime)*COUNTA(T25)+2,(T25&lt;FinalTime)*COUNTA(T25)+(U25&lt;=FinalTime)*(U25&gt;T25)*COUNTA(U25)+1,COUNTA(S25)+(T25&lt;FinalTime)*COUNTA(T25)+(U25&lt;=FinalTime)*(U25&gt;T25)*COUNTA(U25)))</f>
        <v>0</v>
      </c>
      <c r="P25" s="101"/>
      <c r="Q25" s="102"/>
      <c r="R25" s="103"/>
      <c r="S25" s="104"/>
      <c r="T25" s="103"/>
      <c r="U25" s="103"/>
      <c r="V25" s="95">
        <f t="shared" si="8"/>
        <v>0</v>
      </c>
      <c r="W25" s="96">
        <f>IFERROR(INDEX(LoadVariablesNames,MATCH(0,INDEX(COUNTIF($W$16:W24,LoadVariablesNames),,),)),0)</f>
        <v>0</v>
      </c>
      <c r="X25" s="73">
        <f t="shared" ref="X25" si="23">NOT(AND(ISNA(VLOOKUP(Y25,ModelVariablesNames,1,FALSE)),NOT(ISBLANK(Y25))))*COUNTA(Y25)+COUNTA(AA25)+0.5*AB25</f>
        <v>0</v>
      </c>
      <c r="Y25" s="109"/>
      <c r="Z25" s="110"/>
      <c r="AA25" s="111"/>
      <c r="AB25" s="117" t="b">
        <v>0</v>
      </c>
      <c r="AC25" s="118"/>
      <c r="AD25" s="39"/>
      <c r="AE25" s="113" t="str">
        <f>O36</f>
        <v>Output Variables</v>
      </c>
      <c r="AF25" s="114"/>
      <c r="AG25" s="119" t="b">
        <f>SUM($O$38:$O$47)&gt;0</f>
        <v>1</v>
      </c>
    </row>
    <row r="26" spans="1:33" s="2" customFormat="1" ht="15" customHeight="1" thickBot="1" x14ac:dyDescent="0.3">
      <c r="A26" s="44">
        <f t="shared" si="0"/>
        <v>0</v>
      </c>
      <c r="B26" s="45"/>
      <c r="C26" s="54"/>
      <c r="D26" s="251"/>
      <c r="E26" s="251"/>
      <c r="F26" s="251"/>
      <c r="G26" s="251"/>
      <c r="H26" s="251"/>
      <c r="I26" s="47">
        <f t="array" ref="I2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17)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6" s="49">
        <f>COUNTA(ManipulatedVariableHigher)</f>
        <v>0</v>
      </c>
      <c r="K26" s="248"/>
      <c r="L26" s="55" t="s">
        <v>21</v>
      </c>
      <c r="M26" s="120"/>
      <c r="N26" s="36"/>
      <c r="O26" s="90">
        <f t="shared" ref="O26" si="24">IF(V26=0,COUNTA(P26:Q26),ISTEXT(VLOOKUP(P26,$I$9:$I$34,1,FALSE))*COUNTA(P26)+1+COUNTA(R26)+CHOOSE(V26,(T26&lt;FinalTime)*COUNTA(T26)+2,(T26&lt;FinalTime)*COUNTA(T26)+(U26&lt;=FinalTime)*(U26&gt;T26)*COUNTA(U26)+1,COUNTA(S26)+(T26&lt;FinalTime)*COUNTA(T26)+(U26&lt;=FinalTime)*(U26&gt;T26)*COUNTA(U26)))</f>
        <v>0</v>
      </c>
      <c r="P26" s="101"/>
      <c r="Q26" s="102"/>
      <c r="R26" s="103"/>
      <c r="S26" s="104"/>
      <c r="T26" s="103"/>
      <c r="U26" s="103"/>
      <c r="V26" s="95">
        <f t="shared" si="8"/>
        <v>0</v>
      </c>
      <c r="W26" s="96">
        <f>IFERROR(INDEX(LoadVariablesNames,MATCH(0,INDEX(COUNTIF($W$16:W25,LoadVariablesNames),,),)),0)</f>
        <v>0</v>
      </c>
      <c r="X26" s="73">
        <f t="shared" ref="X26" si="25">NOT(AND(ISNA(VLOOKUP(Y26,ModelVariablesNames,1,FALSE)),NOT(ISBLANK(Y26))))*COUNTA(Y26)+COUNTA(AA26)+0.5*AB26</f>
        <v>0</v>
      </c>
      <c r="Y26" s="109"/>
      <c r="Z26" s="110"/>
      <c r="AA26" s="111"/>
      <c r="AB26" s="117" t="b">
        <v>0</v>
      </c>
      <c r="AC26" s="118"/>
      <c r="AD26" s="39"/>
      <c r="AE26" s="113" t="str">
        <f>X8</f>
        <v>Charts Parameters</v>
      </c>
      <c r="AF26" s="114"/>
      <c r="AG26" s="119" t="b">
        <f>OR(SUM($X$13:$X$36)=0,AND(SUM($X$13:$X$36)&gt;0,$X$9=1))</f>
        <v>1</v>
      </c>
    </row>
    <row r="27" spans="1:33" s="2" customFormat="1" ht="15" customHeight="1" thickBot="1" x14ac:dyDescent="0.3">
      <c r="A27" s="44">
        <f t="shared" si="0"/>
        <v>0</v>
      </c>
      <c r="B27" s="45"/>
      <c r="C27" s="54"/>
      <c r="D27" s="251"/>
      <c r="E27" s="251"/>
      <c r="F27" s="251"/>
      <c r="G27" s="251"/>
      <c r="H27" s="251"/>
      <c r="I27" s="47">
        <f t="array" ref="I2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18)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7" s="62"/>
      <c r="K27" s="121"/>
      <c r="L27" s="121"/>
      <c r="M27" s="121"/>
      <c r="N27" s="36"/>
      <c r="O27" s="90">
        <f t="shared" ref="O27" si="26">IF(V27=0,COUNTA(P27:Q27),ISTEXT(VLOOKUP(P27,$I$9:$I$34,1,FALSE))*COUNTA(P27)+1+COUNTA(R27)+CHOOSE(V27,(T27&lt;FinalTime)*COUNTA(T27)+2,(T27&lt;FinalTime)*COUNTA(T27)+(U27&lt;=FinalTime)*(U27&gt;T27)*COUNTA(U27)+1,COUNTA(S27)+(T27&lt;FinalTime)*COUNTA(T27)+(U27&lt;=FinalTime)*(U27&gt;T27)*COUNTA(U27)))</f>
        <v>0</v>
      </c>
      <c r="P27" s="101"/>
      <c r="Q27" s="102"/>
      <c r="R27" s="103"/>
      <c r="S27" s="104"/>
      <c r="T27" s="103"/>
      <c r="U27" s="103"/>
      <c r="V27" s="95">
        <f t="shared" si="8"/>
        <v>0</v>
      </c>
      <c r="W27" s="96">
        <f>IFERROR(INDEX(LoadVariablesNames,MATCH(0,INDEX(COUNTIF($W$16:W26,LoadVariablesNames),,),)),0)</f>
        <v>0</v>
      </c>
      <c r="X27" s="73">
        <f t="shared" ref="X27" si="27">NOT(AND(ISNA(VLOOKUP(Y27,ModelVariablesNames,1,FALSE)),NOT(ISBLANK(Y27))))*COUNTA(Y27)+COUNTA(AA27)+0.5*AB27</f>
        <v>0</v>
      </c>
      <c r="Y27" s="109"/>
      <c r="Z27" s="110"/>
      <c r="AA27" s="111"/>
      <c r="AB27" s="117" t="b">
        <v>0</v>
      </c>
      <c r="AC27" s="118"/>
      <c r="AD27" s="39"/>
      <c r="AE27" s="51" t="str">
        <f>X11</f>
        <v>Model Variables in Charts</v>
      </c>
      <c r="AF27" s="52"/>
      <c r="AG27" s="122" t="b">
        <f>AND(COUNTIF($X$13:$X$36,"=0,5")=0,COUNTIF($X$13:$X$36,"=1")=0,COUNTIF($X$13:$X$36,"=1,5")=0)</f>
        <v>1</v>
      </c>
    </row>
    <row r="28" spans="1:33" s="2" customFormat="1" ht="15" customHeight="1" x14ac:dyDescent="0.25">
      <c r="A28" s="44">
        <f t="shared" si="0"/>
        <v>0</v>
      </c>
      <c r="B28" s="45"/>
      <c r="C28" s="54"/>
      <c r="D28" s="251"/>
      <c r="E28" s="251"/>
      <c r="F28" s="251"/>
      <c r="G28" s="251"/>
      <c r="H28" s="251"/>
      <c r="I28" s="47">
        <f t="array" ref="I2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8" s="36"/>
      <c r="K28" s="121"/>
      <c r="L28" s="121"/>
      <c r="M28" s="121"/>
      <c r="N28" s="36"/>
      <c r="O28" s="90">
        <f t="shared" ref="O28" si="28">IF(V28=0,COUNTA(P28:Q28),ISTEXT(VLOOKUP(P28,$I$9:$I$34,1,FALSE))*COUNTA(P28)+1+COUNTA(R28)+CHOOSE(V28,(T28&lt;FinalTime)*COUNTA(T28)+2,(T28&lt;FinalTime)*COUNTA(T28)+(U28&lt;=FinalTime)*(U28&gt;T28)*COUNTA(U28)+1,COUNTA(S28)+(T28&lt;FinalTime)*COUNTA(T28)+(U28&lt;=FinalTime)*(U28&gt;T28)*COUNTA(U28)))</f>
        <v>0</v>
      </c>
      <c r="P28" s="101"/>
      <c r="Q28" s="102"/>
      <c r="R28" s="103"/>
      <c r="S28" s="104"/>
      <c r="T28" s="103"/>
      <c r="U28" s="103"/>
      <c r="V28" s="95">
        <f t="shared" si="8"/>
        <v>0</v>
      </c>
      <c r="W28" s="96">
        <f>IFERROR(INDEX(LoadVariablesNames,MATCH(0,INDEX(COUNTIF($W$16:W27,LoadVariablesNames),,),)),0)</f>
        <v>0</v>
      </c>
      <c r="X28" s="73">
        <f t="shared" ref="X28" si="29">NOT(AND(ISNA(VLOOKUP(Y28,ModelVariablesNames,1,FALSE)),NOT(ISBLANK(Y28))))*COUNTA(Y28)+COUNTA(AA28)+0.5*AB28</f>
        <v>0</v>
      </c>
      <c r="Y28" s="109"/>
      <c r="Z28" s="110"/>
      <c r="AA28" s="111"/>
      <c r="AB28" s="117" t="b">
        <v>0</v>
      </c>
      <c r="AC28" s="118"/>
      <c r="AD28" s="39"/>
      <c r="AE28" s="57"/>
      <c r="AF28" s="58"/>
      <c r="AG28" s="59"/>
    </row>
    <row r="29" spans="1:33" s="2" customFormat="1" ht="15" customHeight="1" x14ac:dyDescent="0.25">
      <c r="A29" s="44">
        <f t="shared" si="0"/>
        <v>0</v>
      </c>
      <c r="B29" s="45"/>
      <c r="C29" s="54"/>
      <c r="D29" s="251"/>
      <c r="E29" s="251"/>
      <c r="F29" s="251"/>
      <c r="G29" s="251"/>
      <c r="H29" s="251"/>
      <c r="I29" s="47">
        <f t="array" ref="I2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29" s="123"/>
      <c r="L29" s="121"/>
      <c r="M29" s="121"/>
      <c r="O29" s="90">
        <f t="shared" ref="O29" si="30">IF(V29=0,COUNTA(P29:Q29),ISTEXT(VLOOKUP(P29,$I$9:$I$34,1,FALSE))*COUNTA(P29)+1+COUNTA(R29)+CHOOSE(V29,(T29&lt;FinalTime)*COUNTA(T29)+2,(T29&lt;FinalTime)*COUNTA(T29)+(U29&lt;=FinalTime)*(U29&gt;T29)*COUNTA(U29)+1,COUNTA(S29)+(T29&lt;FinalTime)*COUNTA(T29)+(U29&lt;=FinalTime)*(U29&gt;T29)*COUNTA(U29)))</f>
        <v>0</v>
      </c>
      <c r="P29" s="101"/>
      <c r="Q29" s="102"/>
      <c r="R29" s="103"/>
      <c r="S29" s="104"/>
      <c r="T29" s="103"/>
      <c r="U29" s="103"/>
      <c r="V29" s="95">
        <f t="shared" si="8"/>
        <v>0</v>
      </c>
      <c r="W29" s="96">
        <f>IFERROR(INDEX(LoadVariablesNames,MATCH(0,INDEX(COUNTIF($W$16:W28,LoadVariablesNames),,),)),0)</f>
        <v>0</v>
      </c>
      <c r="X29" s="73">
        <f t="shared" ref="X29" si="31">NOT(AND(ISNA(VLOOKUP(Y29,ModelVariablesNames,1,FALSE)),NOT(ISBLANK(Y29))))*COUNTA(Y29)+COUNTA(AA29)+0.5*AB29</f>
        <v>0</v>
      </c>
      <c r="Y29" s="109"/>
      <c r="Z29" s="110"/>
      <c r="AA29" s="111"/>
      <c r="AB29" s="117" t="b">
        <v>0</v>
      </c>
      <c r="AC29" s="118"/>
      <c r="AD29" s="4"/>
      <c r="AE29" s="4"/>
      <c r="AF29" s="4"/>
      <c r="AG29" s="4"/>
    </row>
    <row r="30" spans="1:33" s="2" customFormat="1" ht="15" customHeight="1" x14ac:dyDescent="0.3">
      <c r="A30" s="44">
        <f t="shared" si="0"/>
        <v>0</v>
      </c>
      <c r="B30" s="45"/>
      <c r="C30" s="54"/>
      <c r="D30" s="235"/>
      <c r="E30" s="235"/>
      <c r="F30" s="235"/>
      <c r="G30" s="235"/>
      <c r="H30" s="235"/>
      <c r="I30" s="47">
        <f t="array" ref="I3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0" s="123"/>
      <c r="L30" s="121"/>
      <c r="M30" s="121"/>
      <c r="O30" s="90">
        <f t="shared" ref="O30" si="32">IF(V30=0,COUNTA(P30:Q30),ISTEXT(VLOOKUP(P30,$I$9:$I$34,1,FALSE))*COUNTA(P30)+1+COUNTA(R30)+CHOOSE(V30,(T30&lt;FinalTime)*COUNTA(T30)+2,(T30&lt;FinalTime)*COUNTA(T30)+(U30&lt;=FinalTime)*(U30&gt;T30)*COUNTA(U30)+1,COUNTA(S30)+(T30&lt;FinalTime)*COUNTA(T30)+(U30&lt;=FinalTime)*(U30&gt;T30)*COUNTA(U30)))</f>
        <v>0</v>
      </c>
      <c r="P30" s="101"/>
      <c r="Q30" s="102"/>
      <c r="R30" s="103"/>
      <c r="S30" s="104"/>
      <c r="T30" s="103"/>
      <c r="U30" s="103"/>
      <c r="V30" s="95">
        <f t="shared" si="8"/>
        <v>0</v>
      </c>
      <c r="W30" s="96">
        <f>IFERROR(INDEX(LoadVariablesNames,MATCH(0,INDEX(COUNTIF($W$16:W29,LoadVariablesNames),,),)),0)</f>
        <v>0</v>
      </c>
      <c r="X30" s="73">
        <f t="shared" ref="X30" si="33">NOT(AND(ISNA(VLOOKUP(Y30,ModelVariablesNames,1,FALSE)),NOT(ISBLANK(Y30))))*COUNTA(Y30)+COUNTA(AA30)+0.5*AB30</f>
        <v>0</v>
      </c>
      <c r="Y30" s="109"/>
      <c r="Z30" s="110"/>
      <c r="AA30" s="111"/>
      <c r="AB30" s="117" t="b">
        <v>0</v>
      </c>
      <c r="AC30" s="118"/>
      <c r="AD30" s="97" t="s">
        <v>51</v>
      </c>
      <c r="AE30" s="57"/>
      <c r="AF30" s="58"/>
      <c r="AG30" s="59"/>
    </row>
    <row r="31" spans="1:33" s="2" customFormat="1" ht="15" customHeight="1" x14ac:dyDescent="0.25">
      <c r="A31" s="44">
        <f t="shared" si="0"/>
        <v>0</v>
      </c>
      <c r="B31" s="45"/>
      <c r="C31" s="54"/>
      <c r="D31" s="235"/>
      <c r="E31" s="235"/>
      <c r="F31" s="235"/>
      <c r="G31" s="235"/>
      <c r="H31" s="235"/>
      <c r="I31" s="47">
        <f t="array" ref="I3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1" s="123"/>
      <c r="L31" s="121"/>
      <c r="M31" s="121"/>
      <c r="O31" s="90">
        <f t="shared" ref="O31" si="34">IF(V31=0,COUNTA(P31:Q31),ISTEXT(VLOOKUP(P31,$I$9:$I$34,1,FALSE))*COUNTA(P31)+1+COUNTA(R31)+CHOOSE(V31,(T31&lt;FinalTime)*COUNTA(T31)+2,(T31&lt;FinalTime)*COUNTA(T31)+(U31&lt;=FinalTime)*(U31&gt;T31)*COUNTA(U31)+1,COUNTA(S31)+(T31&lt;FinalTime)*COUNTA(T31)+(U31&lt;=FinalTime)*(U31&gt;T31)*COUNTA(U31)))</f>
        <v>0</v>
      </c>
      <c r="P31" s="101"/>
      <c r="Q31" s="102"/>
      <c r="R31" s="103"/>
      <c r="S31" s="104"/>
      <c r="T31" s="103"/>
      <c r="U31" s="103"/>
      <c r="V31" s="95">
        <f t="shared" si="8"/>
        <v>0</v>
      </c>
      <c r="W31" s="96">
        <f>IFERROR(INDEX(LoadVariablesNames,MATCH(0,INDEX(COUNTIF($W$16:W30,LoadVariablesNames),,),)),0)</f>
        <v>0</v>
      </c>
      <c r="X31" s="73">
        <f t="shared" ref="X31" si="35">NOT(AND(ISNA(VLOOKUP(Y31,ModelVariablesNames,1,FALSE)),NOT(ISBLANK(Y31))))*COUNTA(Y31)+COUNTA(AA31)+0.5*AB31</f>
        <v>0</v>
      </c>
      <c r="Y31" s="109"/>
      <c r="Z31" s="110"/>
      <c r="AA31" s="111"/>
      <c r="AB31" s="117" t="b">
        <v>0</v>
      </c>
      <c r="AC31" s="118"/>
      <c r="AD31" s="65" t="s">
        <v>52</v>
      </c>
      <c r="AE31" s="57"/>
      <c r="AF31" s="58"/>
      <c r="AG31" s="124" t="b">
        <f>COUNTIF(AG33:AG45,"=PRAVDA")=COUNTA(AG33:AG45)</f>
        <v>0</v>
      </c>
    </row>
    <row r="32" spans="1:33" s="2" customFormat="1" ht="15" customHeight="1" thickBot="1" x14ac:dyDescent="0.3">
      <c r="A32" s="44">
        <f t="shared" si="0"/>
        <v>0</v>
      </c>
      <c r="B32" s="45"/>
      <c r="C32" s="54"/>
      <c r="D32" s="251"/>
      <c r="E32" s="251"/>
      <c r="F32" s="251"/>
      <c r="G32" s="251"/>
      <c r="H32" s="251"/>
      <c r="I32" s="47">
        <f t="array" ref="I3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2" s="36"/>
      <c r="K32" s="125"/>
      <c r="L32" s="121"/>
      <c r="M32" s="121"/>
      <c r="N32" s="36"/>
      <c r="O32" s="90">
        <f t="shared" ref="O32" si="36">IF(V32=0,COUNTA(P32:Q32),ISTEXT(VLOOKUP(P32,$I$9:$I$34,1,FALSE))*COUNTA(P32)+1+COUNTA(R32)+CHOOSE(V32,(T32&lt;FinalTime)*COUNTA(T32)+2,(T32&lt;FinalTime)*COUNTA(T32)+(U32&lt;=FinalTime)*(U32&gt;T32)*COUNTA(U32)+1,COUNTA(S32)+(T32&lt;FinalTime)*COUNTA(T32)+(U32&lt;=FinalTime)*(U32&gt;T32)*COUNTA(U32)))</f>
        <v>0</v>
      </c>
      <c r="P32" s="101"/>
      <c r="Q32" s="102"/>
      <c r="R32" s="103"/>
      <c r="S32" s="104"/>
      <c r="T32" s="103"/>
      <c r="U32" s="103"/>
      <c r="V32" s="95">
        <f t="shared" si="8"/>
        <v>0</v>
      </c>
      <c r="W32" s="96">
        <f>IFERROR(INDEX(LoadVariablesNames,MATCH(0,INDEX(COUNTIF($W$16:W31,LoadVariablesNames),,),)),0)</f>
        <v>0</v>
      </c>
      <c r="X32" s="73">
        <f t="shared" ref="X32" si="37">NOT(AND(ISNA(VLOOKUP(Y32,ModelVariablesNames,1,FALSE)),NOT(ISBLANK(Y32))))*COUNTA(Y32)+COUNTA(AA32)+0.5*AB32</f>
        <v>0</v>
      </c>
      <c r="Y32" s="109"/>
      <c r="Z32" s="110"/>
      <c r="AA32" s="111"/>
      <c r="AB32" s="117" t="b">
        <v>0</v>
      </c>
      <c r="AC32" s="118"/>
      <c r="AD32" s="106" t="str">
        <f>A7</f>
        <v>MODEL</v>
      </c>
      <c r="AE32" s="57"/>
      <c r="AF32" s="58"/>
      <c r="AG32" s="126"/>
    </row>
    <row r="33" spans="1:33" s="2" customFormat="1" ht="15" customHeight="1" x14ac:dyDescent="0.25">
      <c r="A33" s="44">
        <f t="shared" si="0"/>
        <v>0</v>
      </c>
      <c r="B33" s="45"/>
      <c r="C33" s="54"/>
      <c r="D33" s="251"/>
      <c r="E33" s="251"/>
      <c r="F33" s="251"/>
      <c r="G33" s="251"/>
      <c r="H33" s="251"/>
      <c r="I33" s="47">
        <f t="array" ref="I3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3" s="36"/>
      <c r="K33" s="121"/>
      <c r="L33" s="121"/>
      <c r="M33" s="121"/>
      <c r="N33" s="36"/>
      <c r="O33" s="90">
        <f t="shared" ref="O33" si="38">IF(V33=0,COUNTA(P33:Q33),ISTEXT(VLOOKUP(P33,$I$9:$I$34,1,FALSE))*COUNTA(P33)+1+COUNTA(R33)+CHOOSE(V33,(T33&lt;FinalTime)*COUNTA(T33)+2,(T33&lt;FinalTime)*COUNTA(T33)+(U33&lt;=FinalTime)*(U33&gt;T33)*COUNTA(U33)+1,COUNTA(S33)+(T33&lt;FinalTime)*COUNTA(T33)+(U33&lt;=FinalTime)*(U33&gt;T33)*COUNTA(U33)))</f>
        <v>0</v>
      </c>
      <c r="P33" s="101"/>
      <c r="Q33" s="102"/>
      <c r="R33" s="103"/>
      <c r="S33" s="104"/>
      <c r="T33" s="103"/>
      <c r="U33" s="103"/>
      <c r="V33" s="95">
        <f t="shared" si="8"/>
        <v>0</v>
      </c>
      <c r="W33" s="96">
        <f>IFERROR(INDEX(LoadVariablesNames,MATCH(0,INDEX(COUNTIF($W$16:W32,LoadVariablesNames),,),)),0)</f>
        <v>0</v>
      </c>
      <c r="X33" s="73">
        <f t="shared" ref="X33" si="39">NOT(AND(ISNA(VLOOKUP(Y33,ModelVariablesNames,1,FALSE)),NOT(ISBLANK(Y33))))*COUNTA(Y33)+COUNTA(AA33)+0.5*AB33</f>
        <v>0</v>
      </c>
      <c r="Y33" s="109"/>
      <c r="Z33" s="110"/>
      <c r="AA33" s="111"/>
      <c r="AB33" s="117" t="b">
        <v>0</v>
      </c>
      <c r="AC33" s="118"/>
      <c r="AD33" s="39"/>
      <c r="AE33" s="40" t="str">
        <f>A8</f>
        <v>Model Variables and Constants</v>
      </c>
      <c r="AF33" s="41"/>
      <c r="AG33" s="112" t="b">
        <f>AND(COUNTIF($A$10:$A$34,"=2")&gt;0,COUNTIF($A$10:$A$34,"=1")=0)</f>
        <v>1</v>
      </c>
    </row>
    <row r="34" spans="1:33" s="2" customFormat="1" ht="15" customHeight="1" thickBot="1" x14ac:dyDescent="0.3">
      <c r="A34" s="44">
        <f t="shared" si="0"/>
        <v>0</v>
      </c>
      <c r="B34" s="236"/>
      <c r="C34" s="127"/>
      <c r="D34" s="262"/>
      <c r="E34" s="262"/>
      <c r="F34" s="262"/>
      <c r="G34" s="262"/>
      <c r="H34" s="262"/>
      <c r="I34" s="47">
        <f t="array" ref="I3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4" s="36"/>
      <c r="K34" s="123"/>
      <c r="L34" s="121"/>
      <c r="M34" s="121"/>
      <c r="N34" s="36"/>
      <c r="O34" s="90">
        <f t="shared" ref="O34" si="40">IF(V34=0,COUNTA(P34:Q34),ISTEXT(VLOOKUP(P34,$I$9:$I$34,1,FALSE))*COUNTA(P34)+1+COUNTA(R34)+CHOOSE(V34,(T34&lt;FinalTime)*COUNTA(T34)+2,(T34&lt;FinalTime)*COUNTA(T34)+(U34&lt;=FinalTime)*(U34&gt;T34)*COUNTA(U34)+1,COUNTA(S34)+(T34&lt;FinalTime)*COUNTA(T34)+(U34&lt;=FinalTime)*(U34&gt;T34)*COUNTA(U34)))</f>
        <v>0</v>
      </c>
      <c r="P34" s="128"/>
      <c r="Q34" s="129"/>
      <c r="R34" s="130"/>
      <c r="S34" s="131"/>
      <c r="T34" s="130"/>
      <c r="U34" s="130"/>
      <c r="V34" s="95">
        <f t="shared" si="8"/>
        <v>0</v>
      </c>
      <c r="W34" s="96">
        <f>IFERROR(INDEX(LoadVariablesNames,MATCH(0,INDEX(COUNTIF($W$16:W33,LoadVariablesNames),,),)),0)</f>
        <v>0</v>
      </c>
      <c r="X34" s="73">
        <f t="shared" ref="X34" si="41">NOT(AND(ISNA(VLOOKUP(Y34,ModelVariablesNames,1,FALSE)),NOT(ISBLANK(Y34))))*COUNTA(Y34)+COUNTA(AA34)+0.5*AB34</f>
        <v>0</v>
      </c>
      <c r="Y34" s="132"/>
      <c r="Z34" s="133"/>
      <c r="AA34" s="134"/>
      <c r="AB34" s="117" t="b">
        <v>0</v>
      </c>
      <c r="AC34" s="118"/>
      <c r="AD34" s="39"/>
      <c r="AE34" s="113" t="str">
        <f>A36</f>
        <v>Model First-order ODEs</v>
      </c>
      <c r="AF34" s="114"/>
      <c r="AG34" s="115" t="b">
        <f>AND(COUNTIF($A$38:$A$47,"=2")&gt;0,COUNTIF($A$38:$A$47,"=1")=0)</f>
        <v>1</v>
      </c>
    </row>
    <row r="35" spans="1:33" s="2" customFormat="1" ht="15" customHeight="1" x14ac:dyDescent="0.25">
      <c r="A35" s="135"/>
      <c r="B35" s="62"/>
      <c r="C35" s="62"/>
      <c r="D35" s="62"/>
      <c r="E35" s="136"/>
      <c r="F35" s="62"/>
      <c r="G35" s="136"/>
      <c r="H35" s="62"/>
      <c r="I35" s="62"/>
      <c r="J35" s="36"/>
      <c r="K35" s="121"/>
      <c r="L35" s="121"/>
      <c r="M35" s="121"/>
      <c r="N35" s="36"/>
      <c r="O35" s="79"/>
      <c r="P35" s="79"/>
      <c r="R35" s="137"/>
      <c r="S35" s="137"/>
      <c r="T35" s="137"/>
      <c r="U35" s="137"/>
      <c r="X35" s="138"/>
      <c r="Y35" s="138"/>
      <c r="Z35" s="138"/>
      <c r="AA35" s="138"/>
      <c r="AB35" s="138"/>
      <c r="AC35" s="118"/>
      <c r="AD35" s="116" t="str">
        <f>J7</f>
        <v>REGULATORY LOOP</v>
      </c>
      <c r="AE35" s="57"/>
      <c r="AF35" s="58"/>
      <c r="AG35" s="115"/>
    </row>
    <row r="36" spans="1:33" s="2" customFormat="1" ht="15" customHeight="1" thickBot="1" x14ac:dyDescent="0.3">
      <c r="A36" s="31" t="s">
        <v>53</v>
      </c>
      <c r="B36" s="69"/>
      <c r="C36" s="79"/>
      <c r="D36" s="79"/>
      <c r="E36" s="79"/>
      <c r="F36" s="79"/>
      <c r="G36" s="79"/>
      <c r="H36" s="79"/>
      <c r="I36" s="36"/>
      <c r="J36" s="36"/>
      <c r="K36" s="121"/>
      <c r="L36" s="121"/>
      <c r="M36" s="121"/>
      <c r="N36" s="36"/>
      <c r="O36" s="31" t="s">
        <v>54</v>
      </c>
      <c r="P36" s="70"/>
      <c r="R36" s="137"/>
      <c r="S36" s="137"/>
      <c r="T36" s="137"/>
      <c r="U36" s="137"/>
      <c r="X36" s="138"/>
      <c r="Y36" s="138"/>
      <c r="Z36" s="138"/>
      <c r="AA36" s="138"/>
      <c r="AB36" s="138"/>
      <c r="AC36" s="118"/>
      <c r="AD36" s="39"/>
      <c r="AE36" s="113" t="str">
        <f>J8</f>
        <v>Measuring Element (Zero-order System)</v>
      </c>
      <c r="AF36" s="114"/>
      <c r="AG36" s="115" t="b">
        <f>SUM($J$9:$J$11)=3</f>
        <v>0</v>
      </c>
    </row>
    <row r="37" spans="1:33" s="2" customFormat="1" ht="15" customHeight="1" thickBot="1" x14ac:dyDescent="0.3">
      <c r="A37" s="31"/>
      <c r="B37" s="238" t="s">
        <v>55</v>
      </c>
      <c r="C37" s="32" t="s">
        <v>10</v>
      </c>
      <c r="D37" s="238" t="s">
        <v>56</v>
      </c>
      <c r="E37" s="238"/>
      <c r="F37" s="238"/>
      <c r="G37" s="238"/>
      <c r="H37" s="238"/>
      <c r="I37" s="36"/>
      <c r="J37" s="36"/>
      <c r="K37" s="121"/>
      <c r="L37" s="121"/>
      <c r="M37" s="121"/>
      <c r="N37" s="36"/>
      <c r="O37" s="69"/>
      <c r="P37" s="139" t="s">
        <v>9</v>
      </c>
      <c r="R37" s="140"/>
      <c r="S37" s="137"/>
      <c r="T37" s="137"/>
      <c r="U37" s="137"/>
      <c r="AC37" s="118"/>
      <c r="AD37" s="39"/>
      <c r="AE37" s="113" t="str">
        <f>J13</f>
        <v>Controller</v>
      </c>
      <c r="AF37" s="114"/>
      <c r="AG37" s="115" t="b">
        <f>AND(SUM(J14:J16,J18)=4,IF(Action="",FALSE,CHOOSE(N18,COUNTA(r0)=1,COUNTA(r0,Ti)=2,COUNTA(r0,Td)=2,COUNTA(r0,Ti,Td)=3)))</f>
        <v>0</v>
      </c>
    </row>
    <row r="38" spans="1:33" s="2" customFormat="1" ht="15" customHeight="1" x14ac:dyDescent="0.25">
      <c r="A38" s="141">
        <f t="shared" ref="A38" si="42">AND(COUNTA(B38),COUNTIF(ModelODEsVariables,B38)=1)+COUNTA(C38)</f>
        <v>2</v>
      </c>
      <c r="B38" s="142" t="s">
        <v>85</v>
      </c>
      <c r="C38" s="143">
        <f>C12/C13*(C10-C11)+C14*C15/C13/C16/C17</f>
        <v>0</v>
      </c>
      <c r="D38" s="144" t="str">
        <f>IFERROR([1]!SYMBOLIC(C38,$B$10:$C$34),"")</f>
        <v>=F/V*(T1-T2)+P*eta/V/ro/cp</v>
      </c>
      <c r="E38" s="144"/>
      <c r="F38" s="145"/>
      <c r="G38" s="145"/>
      <c r="H38" s="145"/>
      <c r="I38" s="47" t="str">
        <f t="array" ref="I38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1)),IF(ISBLANK(ModelODEsVariables),"",IF(ISNUMBER(ModelODEsVariables),COUNTIF(ModelODEsVariables,"&lt;"&amp;ModelODEsVariables),COUNTIF(ModelODEsVariables,"&lt;"&amp;ModelODEsVariables)+SUM(IF(ISNUMBER(ModelODEsVariables),1,0))+1)),0)),)</f>
        <v>T2</v>
      </c>
      <c r="J38" s="36"/>
      <c r="K38" s="121"/>
      <c r="L38" s="121"/>
      <c r="M38" s="121"/>
      <c r="N38" s="36"/>
      <c r="O38" s="146">
        <f t="shared" ref="O38" si="43">IF(OR(COUNTA(P38)=0,COUNTIF(OutputVariables,P38)&gt;1,ISNA(VLOOKUP(P38,ModelVariablesTable,1,FALSE))),0,1)</f>
        <v>1</v>
      </c>
      <c r="P38" s="147" t="s">
        <v>85</v>
      </c>
      <c r="Q38" s="148" t="str">
        <f t="array" ref="Q38">IFERROR(INDEX($I$10:$I$47,MATCH(0,COUNTIF($Q$37:Q37,$I$10:$I$47)+IF(COUNTIF($I$10:$I$47,$I$10:$I$47)&gt;1,0,1),0)),0)</f>
        <v>T2</v>
      </c>
      <c r="R38" s="140"/>
      <c r="S38" s="137"/>
      <c r="T38" s="149"/>
      <c r="U38" s="149"/>
      <c r="V38" s="121"/>
      <c r="W38" s="121"/>
      <c r="AD38" s="39"/>
      <c r="AE38" s="113" t="str">
        <f>J23</f>
        <v>Final Control Element (Zero-order System)</v>
      </c>
      <c r="AF38" s="114"/>
      <c r="AG38" s="115" t="b">
        <f>IF(SUM($J$24:$J$26)=3,TRUE,FALSE)</f>
        <v>0</v>
      </c>
    </row>
    <row r="39" spans="1:33" s="2" customFormat="1" ht="15" customHeight="1" x14ac:dyDescent="0.25">
      <c r="A39" s="141">
        <f t="shared" ref="A39" si="44">AND(COUNTA(B39),COUNTIF(ModelODEsVariables,B39)=1)+COUNTA(C39)</f>
        <v>0</v>
      </c>
      <c r="B39" s="150"/>
      <c r="C39" s="143"/>
      <c r="D39" s="144" t="str">
        <f>IFERROR([1]!SYMBOLIC(C39,$B$10:$C$34),"")</f>
        <v/>
      </c>
      <c r="E39" s="151"/>
      <c r="F39" s="152"/>
      <c r="G39" s="152"/>
      <c r="H39" s="152"/>
      <c r="I39" s="47">
        <f t="array" ref="I39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2)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39" s="36"/>
      <c r="K39" s="121"/>
      <c r="L39" s="121"/>
      <c r="M39" s="121"/>
      <c r="N39" s="36"/>
      <c r="O39" s="146">
        <f t="shared" ref="O39" si="45">IF(OR(COUNTA(P39)=0,COUNTIF(OutputVariables,P39)&gt;1,ISNA(VLOOKUP(P39,ModelVariablesTable,1,FALSE))),0,1)</f>
        <v>0</v>
      </c>
      <c r="P39" s="153"/>
      <c r="Q39" s="148">
        <f t="array" ref="Q39">IFERROR(INDEX($I$10:$I$47,MATCH(0,COUNTIF($Q$37:Q38,$I$10:$I$47)+IF(COUNTIF($I$10:$I$47,$I$10:$I$47)&gt;1,0,1),0)),0)</f>
        <v>0</v>
      </c>
      <c r="R39" s="140"/>
      <c r="S39" s="137"/>
      <c r="T39" s="149"/>
      <c r="U39" s="149"/>
      <c r="V39" s="121"/>
      <c r="W39" s="121"/>
      <c r="AD39" s="116" t="str">
        <f>O7</f>
        <v>SIMULATION</v>
      </c>
      <c r="AE39" s="57"/>
      <c r="AF39" s="58"/>
      <c r="AG39" s="115"/>
    </row>
    <row r="40" spans="1:33" s="2" customFormat="1" ht="15" customHeight="1" x14ac:dyDescent="0.25">
      <c r="A40" s="141">
        <f t="shared" ref="A40" si="46">AND(COUNTA(B40),COUNTIF(ModelODEsVariables,B40)=1)+COUNTA(C40)</f>
        <v>0</v>
      </c>
      <c r="B40" s="150"/>
      <c r="C40" s="143"/>
      <c r="D40" s="144" t="str">
        <f>IFERROR([1]!SYMBOLIC(C40,$B$10:$C$34),"")</f>
        <v/>
      </c>
      <c r="E40" s="151"/>
      <c r="F40" s="152"/>
      <c r="G40" s="152"/>
      <c r="H40" s="152"/>
      <c r="I40" s="47">
        <f t="array" ref="I40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3)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0" s="36"/>
      <c r="K40" s="121"/>
      <c r="L40" s="121"/>
      <c r="M40" s="121"/>
      <c r="N40" s="36"/>
      <c r="O40" s="146">
        <f t="shared" ref="O40" si="47">IF(OR(COUNTA(P40)=0,COUNTIF(OutputVariables,P40)&gt;1,ISNA(VLOOKUP(P40,ModelVariablesTable,1,FALSE))),0,1)</f>
        <v>0</v>
      </c>
      <c r="P40" s="153"/>
      <c r="Q40" s="148">
        <f t="array" ref="Q40">IFERROR(INDEX($I$10:$I$47,MATCH(0,COUNTIF($Q$37:Q39,$I$10:$I$47)+IF(COUNTIF($I$10:$I$47,$I$10:$I$47)&gt;1,0,1),0)),0)</f>
        <v>0</v>
      </c>
      <c r="R40" s="140"/>
      <c r="S40" s="137"/>
      <c r="T40" s="149"/>
      <c r="U40" s="149"/>
      <c r="V40" s="121"/>
      <c r="W40" s="121"/>
      <c r="AD40" s="39"/>
      <c r="AE40" s="113" t="str">
        <f>O8</f>
        <v>Integration Parameters</v>
      </c>
      <c r="AF40" s="114"/>
      <c r="AG40" s="115" t="b">
        <f>SUM($O$9:$O$12)=4</f>
        <v>1</v>
      </c>
    </row>
    <row r="41" spans="1:33" s="2" customFormat="1" ht="15" customHeight="1" x14ac:dyDescent="0.25">
      <c r="A41" s="141">
        <f t="shared" ref="A41" si="48">AND(COUNTA(B41),COUNTIF(ModelODEsVariables,B41)=1)+COUNTA(C41)</f>
        <v>0</v>
      </c>
      <c r="B41" s="150"/>
      <c r="C41" s="143"/>
      <c r="D41" s="144" t="str">
        <f>IFERROR([1]!SYMBOLIC(C41,$B$10:$C$34),"")</f>
        <v/>
      </c>
      <c r="E41" s="151"/>
      <c r="F41" s="152"/>
      <c r="G41" s="152"/>
      <c r="H41" s="152"/>
      <c r="I41" s="47">
        <f t="array" ref="I41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4)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1" s="36"/>
      <c r="K41" s="121"/>
      <c r="L41" s="121"/>
      <c r="M41" s="121"/>
      <c r="N41" s="36"/>
      <c r="O41" s="146">
        <f t="shared" ref="O41" si="49">IF(OR(COUNTA(P41)=0,COUNTIF(OutputVariables,P41)&gt;1,ISNA(VLOOKUP(P41,ModelVariablesTable,1,FALSE))),0,1)</f>
        <v>0</v>
      </c>
      <c r="P41" s="153"/>
      <c r="Q41" s="148">
        <f t="array" ref="Q41">IFERROR(INDEX($I$10:$I$47,MATCH(0,COUNTIF($Q$37:Q40,$I$10:$I$47)+IF(COUNTIF($I$10:$I$47,$I$10:$I$47)&gt;1,0,1),0)),0)</f>
        <v>0</v>
      </c>
      <c r="R41" s="140"/>
      <c r="S41" s="137"/>
      <c r="T41" s="149"/>
      <c r="U41" s="149"/>
      <c r="V41" s="121"/>
      <c r="W41" s="121"/>
      <c r="AD41" s="39"/>
      <c r="AE41" s="113" t="str">
        <f>O14</f>
        <v>Disturbances</v>
      </c>
      <c r="AF41" s="114"/>
      <c r="AG41" s="119" t="b">
        <f>OR(SUM($O$17:$O$34)=0,COUNTIFS($O$17:$O$34,"&gt;0",$O$17:$O$34,"&lt;6")=0)</f>
        <v>1</v>
      </c>
    </row>
    <row r="42" spans="1:33" s="2" customFormat="1" ht="15" customHeight="1" x14ac:dyDescent="0.25">
      <c r="A42" s="141">
        <f t="shared" ref="A42" si="50">AND(COUNTA(B42),COUNTIF(ModelODEsVariables,B42)=1)+COUNTA(C42)</f>
        <v>0</v>
      </c>
      <c r="B42" s="150"/>
      <c r="C42" s="143"/>
      <c r="D42" s="144" t="str">
        <f>IFERROR([1]!SYMBOLIC(C42,$B$10:$C$34),"")</f>
        <v/>
      </c>
      <c r="E42" s="151"/>
      <c r="F42" s="152"/>
      <c r="G42" s="152"/>
      <c r="H42" s="152"/>
      <c r="I42" s="47">
        <f t="array" ref="I42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5)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2" s="36"/>
      <c r="K42" s="121"/>
      <c r="L42" s="121"/>
      <c r="M42" s="121"/>
      <c r="N42" s="36"/>
      <c r="O42" s="146">
        <f t="shared" ref="O42" si="51">IF(OR(COUNTA(P42)=0,COUNTIF(OutputVariables,P42)&gt;1,ISNA(VLOOKUP(P42,ModelVariablesTable,1,FALSE))),0,1)</f>
        <v>0</v>
      </c>
      <c r="P42" s="153"/>
      <c r="Q42" s="148">
        <f t="array" ref="Q42">IFERROR(INDEX($I$10:$I$47,MATCH(0,COUNTIF($Q$37:Q41,$I$10:$I$47)+IF(COUNTIF($I$10:$I$47,$I$10:$I$47)&gt;1,0,1),0)),0)</f>
        <v>0</v>
      </c>
      <c r="R42" s="140"/>
      <c r="S42" s="137"/>
      <c r="T42" s="149"/>
      <c r="U42" s="149"/>
      <c r="V42" s="121"/>
      <c r="W42" s="121"/>
      <c r="AD42" s="39"/>
      <c r="AE42" s="113" t="str">
        <f>O36</f>
        <v>Output Variables</v>
      </c>
      <c r="AF42" s="114"/>
      <c r="AG42" s="119" t="b">
        <f>SUM($O$38:$O$47)&gt;0</f>
        <v>1</v>
      </c>
    </row>
    <row r="43" spans="1:33" s="2" customFormat="1" ht="15" customHeight="1" x14ac:dyDescent="0.25">
      <c r="A43" s="141">
        <f t="shared" ref="A43" si="52">AND(COUNTA(B43),COUNTIF(ModelODEsVariables,B43)=1)+COUNTA(C43)</f>
        <v>0</v>
      </c>
      <c r="B43" s="150"/>
      <c r="C43" s="143"/>
      <c r="D43" s="144" t="str">
        <f>IFERROR([1]!SYMBOLIC(C43,$B$10:$C$34),"")</f>
        <v/>
      </c>
      <c r="E43" s="151"/>
      <c r="F43" s="152"/>
      <c r="G43" s="152"/>
      <c r="H43" s="152"/>
      <c r="I43" s="47">
        <f t="array" ref="I43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6)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3" s="36"/>
      <c r="K43" s="121"/>
      <c r="L43" s="121"/>
      <c r="M43" s="121"/>
      <c r="N43" s="36"/>
      <c r="O43" s="146">
        <f t="shared" ref="O43" si="53">IF(OR(COUNTA(P43)=0,COUNTIF(OutputVariables,P43)&gt;1,ISNA(VLOOKUP(P43,ModelVariablesTable,1,FALSE))),0,1)</f>
        <v>0</v>
      </c>
      <c r="P43" s="153"/>
      <c r="Q43" s="148">
        <f t="array" ref="Q43">IFERROR(INDEX($I$10:$I$47,MATCH(0,COUNTIF($Q$37:Q42,$I$10:$I$47)+IF(COUNTIF($I$10:$I$47,$I$10:$I$47)&gt;1,0,1),0)),0)</f>
        <v>0</v>
      </c>
      <c r="R43" s="140"/>
      <c r="S43" s="137"/>
      <c r="T43" s="149"/>
      <c r="U43" s="149"/>
      <c r="V43" s="121"/>
      <c r="W43" s="121"/>
      <c r="AD43" s="39"/>
      <c r="AE43" s="113" t="str">
        <f>X11</f>
        <v>Model Variables in Charts</v>
      </c>
      <c r="AF43" s="114"/>
      <c r="AG43" s="119" t="b">
        <f>AND(COUNTIF($X$13:$X$36,"=0,5")=0,COUNTIF($X$13:$X$36,"=1")=0,COUNTIF($X$13:$X$36,"=1,5")=0)</f>
        <v>1</v>
      </c>
    </row>
    <row r="44" spans="1:33" s="2" customFormat="1" ht="15" customHeight="1" x14ac:dyDescent="0.25">
      <c r="A44" s="141">
        <f t="shared" ref="A44" si="54">AND(COUNTA(B44),COUNTIF(ModelODEsVariables,B44)=1)+COUNTA(C44)</f>
        <v>0</v>
      </c>
      <c r="B44" s="150"/>
      <c r="C44" s="143"/>
      <c r="D44" s="144" t="str">
        <f>IFERROR([1]!SYMBOLIC(C44,$B$10:$C$34),"")</f>
        <v/>
      </c>
      <c r="E44" s="151"/>
      <c r="F44" s="152"/>
      <c r="G44" s="152"/>
      <c r="H44" s="152"/>
      <c r="I44" s="47">
        <f t="array" ref="I44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7)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4" s="36"/>
      <c r="K44" s="121"/>
      <c r="L44" s="121"/>
      <c r="M44" s="121"/>
      <c r="N44" s="36"/>
      <c r="O44" s="146">
        <f t="shared" ref="O44" si="55">IF(OR(COUNTA(P44)=0,COUNTIF(OutputVariables,P44)&gt;1,ISNA(VLOOKUP(P44,ModelVariablesTable,1,FALSE))),0,1)</f>
        <v>0</v>
      </c>
      <c r="P44" s="153"/>
      <c r="Q44" s="148">
        <f t="array" ref="Q44">IFERROR(INDEX($I$10:$I$47,MATCH(0,COUNTIF($Q$37:Q43,$I$10:$I$47)+IF(COUNTIF($I$10:$I$47,$I$10:$I$47)&gt;1,0,1),0)),0)</f>
        <v>0</v>
      </c>
      <c r="R44" s="140"/>
      <c r="S44" s="137"/>
      <c r="T44" s="149"/>
      <c r="U44" s="149"/>
      <c r="V44" s="121"/>
      <c r="W44" s="121"/>
      <c r="AD44" s="4"/>
      <c r="AE44" s="113" t="str">
        <f>X8</f>
        <v>Charts Parameters</v>
      </c>
      <c r="AF44" s="114"/>
      <c r="AG44" s="119" t="b">
        <f>OR(SUM($X$13:$X$36,$X$50:$X$52)=0,AND(OR(SUM($X$13:$X$36)&gt;0,SUM($X$50:$X$52)&gt;0),$X$9=1))</f>
        <v>1</v>
      </c>
    </row>
    <row r="45" spans="1:33" s="2" customFormat="1" ht="15" customHeight="1" thickBot="1" x14ac:dyDescent="0.3">
      <c r="A45" s="141">
        <f t="shared" ref="A45" si="56">AND(COUNTA(B45),COUNTIF(ModelODEsVariables,B45)=1)+COUNTA(C45)</f>
        <v>0</v>
      </c>
      <c r="B45" s="150"/>
      <c r="C45" s="143"/>
      <c r="D45" s="144" t="str">
        <f>IFERROR([1]!SYMBOLIC(C45,$B$10:$C$34),"")</f>
        <v/>
      </c>
      <c r="E45" s="151"/>
      <c r="F45" s="152"/>
      <c r="G45" s="152"/>
      <c r="H45" s="152"/>
      <c r="I45" s="47">
        <f t="array" ref="I45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8)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5" s="36"/>
      <c r="K45" s="121"/>
      <c r="L45" s="121"/>
      <c r="M45" s="121"/>
      <c r="N45" s="36"/>
      <c r="O45" s="146">
        <f t="shared" ref="O45" si="57">IF(OR(COUNTA(P45)=0,COUNTIF(OutputVariables,P45)&gt;1,ISNA(VLOOKUP(P45,ModelVariablesTable,1,FALSE))),0,1)</f>
        <v>0</v>
      </c>
      <c r="P45" s="153"/>
      <c r="Q45" s="148">
        <f t="array" ref="Q45">IFERROR(INDEX($I$10:$I$47,MATCH(0,COUNTIF($Q$37:Q44,$I$10:$I$47)+IF(COUNTIF($I$10:$I$47,$I$10:$I$47)&gt;1,0,1),0)),0)</f>
        <v>0</v>
      </c>
      <c r="R45" s="140"/>
      <c r="S45" s="137"/>
      <c r="T45" s="149"/>
      <c r="U45" s="149"/>
      <c r="V45" s="121"/>
      <c r="W45" s="121"/>
      <c r="AD45" s="39"/>
      <c r="AE45" s="51" t="str">
        <f>X48</f>
        <v>Regulatory Loop Variables in Charts</v>
      </c>
      <c r="AF45" s="52"/>
      <c r="AG45" s="122" t="b">
        <f>AND(COUNTIF($X$50:$X$52,"=0,5")=0,COUNTIF($X$50:$X$52,"=1")=0,COUNTIF($X$50:$X$52,"=1,5")=0)</f>
        <v>1</v>
      </c>
    </row>
    <row r="46" spans="1:33" s="2" customFormat="1" ht="15" customHeight="1" x14ac:dyDescent="0.25">
      <c r="A46" s="141">
        <f t="shared" ref="A46" si="58">AND(COUNTA(B46),COUNTIF(ModelODEsVariables,B46)=1)+COUNTA(C46)</f>
        <v>0</v>
      </c>
      <c r="B46" s="150"/>
      <c r="C46" s="143"/>
      <c r="D46" s="144" t="str">
        <f>IFERROR([1]!SYMBOLIC(C46,$B$10:$C$34),"")</f>
        <v/>
      </c>
      <c r="E46" s="151"/>
      <c r="F46" s="152"/>
      <c r="G46" s="152"/>
      <c r="H46" s="152"/>
      <c r="I46" s="47">
        <f t="array" ref="I46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9)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6" s="36"/>
      <c r="K46" s="121"/>
      <c r="L46" s="121"/>
      <c r="M46" s="121"/>
      <c r="N46" s="36"/>
      <c r="O46" s="146">
        <f t="shared" ref="O46" si="59">IF(OR(COUNTA(P46)=0,COUNTIF(OutputVariables,P46)&gt;1,ISNA(VLOOKUP(P46,ModelVariablesTable,1,FALSE))),0,1)</f>
        <v>0</v>
      </c>
      <c r="P46" s="153"/>
      <c r="Q46" s="148">
        <f t="array" ref="Q46">IFERROR(INDEX($I$10:$I$47,MATCH(0,COUNTIF($Q$37:Q45,$I$10:$I$47)+IF(COUNTIF($I$10:$I$47,$I$10:$I$47)&gt;1,0,1),0)),0)</f>
        <v>0</v>
      </c>
      <c r="R46" s="140"/>
      <c r="S46" s="137"/>
      <c r="T46" s="149"/>
      <c r="U46" s="149"/>
      <c r="V46" s="121"/>
      <c r="W46" s="121"/>
      <c r="AD46" s="4"/>
      <c r="AE46" s="4"/>
      <c r="AF46" s="4"/>
      <c r="AG46" s="4"/>
    </row>
    <row r="47" spans="1:33" s="2" customFormat="1" ht="15" customHeight="1" thickBot="1" x14ac:dyDescent="0.3">
      <c r="A47" s="141">
        <f t="shared" ref="A47" si="60">AND(COUNTA(B47),COUNTIF(ModelODEsVariables,B47)=1)+COUNTA(C47)</f>
        <v>0</v>
      </c>
      <c r="B47" s="154"/>
      <c r="C47" s="155"/>
      <c r="D47" s="156" t="str">
        <f>IFERROR([1]!SYMBOLIC(C47,$B$10:$C$34),"")</f>
        <v/>
      </c>
      <c r="E47" s="156"/>
      <c r="F47" s="157"/>
      <c r="G47" s="157"/>
      <c r="H47" s="157"/>
      <c r="I47" s="47">
        <f t="array" ref="I47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10)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7" s="36"/>
      <c r="K47" s="121"/>
      <c r="L47" s="121"/>
      <c r="M47" s="121"/>
      <c r="N47" s="36"/>
      <c r="O47" s="146">
        <f t="shared" ref="O47" si="61">IF(OR(COUNTA(P47)=0,COUNTIF(OutputVariables,P47)&gt;1,ISNA(VLOOKUP(P47,ModelVariablesTable,1,FALSE))),0,1)</f>
        <v>0</v>
      </c>
      <c r="P47" s="158"/>
      <c r="Q47" s="148">
        <f t="array" ref="Q47">IFERROR(INDEX($I$10:$I$47,MATCH(0,COUNTIF($Q$37:Q46,$I$10:$I$47)+IF(COUNTIF($I$10:$I$47,$I$10:$I$47)&gt;1,0,1),0)),0)</f>
        <v>0</v>
      </c>
      <c r="R47" s="140"/>
      <c r="S47" s="137"/>
      <c r="T47" s="149"/>
      <c r="U47" s="149"/>
      <c r="V47" s="121"/>
      <c r="W47" s="121"/>
      <c r="AD47" s="58"/>
      <c r="AE47" s="58"/>
      <c r="AF47" s="58"/>
      <c r="AG47" s="159"/>
    </row>
    <row r="48" spans="1:33" s="2" customFormat="1" ht="15" hidden="1" customHeight="1" thickBot="1" x14ac:dyDescent="0.3">
      <c r="X48" s="69" t="s">
        <v>57</v>
      </c>
      <c r="Y48" s="36"/>
      <c r="Z48" s="36"/>
      <c r="AA48" s="36"/>
      <c r="AD48" s="4"/>
      <c r="AE48" s="4"/>
      <c r="AF48" s="4"/>
      <c r="AG48" s="4"/>
    </row>
    <row r="49" spans="1:33" s="2" customFormat="1" ht="15" hidden="1" customHeight="1" thickBot="1" x14ac:dyDescent="0.3">
      <c r="X49" s="89"/>
      <c r="Y49" s="238" t="s">
        <v>9</v>
      </c>
      <c r="Z49" s="63" t="s">
        <v>25</v>
      </c>
      <c r="AA49" s="64" t="s">
        <v>26</v>
      </c>
      <c r="AB49" s="160"/>
      <c r="AC49" s="160"/>
      <c r="AD49" s="4"/>
      <c r="AE49" s="4"/>
      <c r="AF49" s="4"/>
      <c r="AG49" s="4"/>
    </row>
    <row r="50" spans="1:33" s="2" customFormat="1" ht="15" hidden="1" customHeight="1" x14ac:dyDescent="0.25">
      <c r="B50" s="7"/>
      <c r="P50" s="161"/>
      <c r="R50" s="161"/>
      <c r="X50" s="162">
        <f>COUNTA(Y50)+COUNTA(AA50)+0.5*AB50</f>
        <v>0</v>
      </c>
      <c r="Y50" s="163"/>
      <c r="Z50" s="164"/>
      <c r="AA50" s="76"/>
      <c r="AB50" s="77" t="b">
        <v>0</v>
      </c>
      <c r="AC50" s="78"/>
      <c r="AD50" s="4"/>
      <c r="AE50" s="4"/>
      <c r="AF50" s="4"/>
      <c r="AG50" s="4"/>
    </row>
    <row r="51" spans="1:33" s="2" customFormat="1" ht="15" hidden="1" customHeight="1" x14ac:dyDescent="0.25">
      <c r="X51" s="162">
        <f>COUNTA(Y51)+COUNTA(AA51)+0.5*AB51</f>
        <v>0</v>
      </c>
      <c r="Y51" s="165"/>
      <c r="Z51" s="166"/>
      <c r="AA51" s="84"/>
      <c r="AB51" s="77" t="b">
        <v>0</v>
      </c>
      <c r="AC51" s="78"/>
      <c r="AD51" s="4"/>
      <c r="AE51" s="4"/>
      <c r="AF51" s="4"/>
      <c r="AG51" s="4"/>
    </row>
    <row r="52" spans="1:33" s="2" customFormat="1" ht="15" hidden="1" customHeight="1" thickBot="1" x14ac:dyDescent="0.3">
      <c r="X52" s="162">
        <f>COUNTA(Y52)+COUNTA(AA52)+0.5*AB52</f>
        <v>0</v>
      </c>
      <c r="Y52" s="167"/>
      <c r="Z52" s="168"/>
      <c r="AA52" s="134"/>
      <c r="AB52" s="77" t="b">
        <v>0</v>
      </c>
      <c r="AC52" s="78"/>
      <c r="AD52" s="4"/>
      <c r="AE52" s="4"/>
      <c r="AF52" s="4"/>
      <c r="AG52" s="4"/>
    </row>
    <row r="53" spans="1:33" s="2" customFormat="1" ht="15" customHeight="1" x14ac:dyDescent="0.25">
      <c r="AD53" s="4"/>
      <c r="AE53" s="4"/>
      <c r="AF53" s="4"/>
      <c r="AG53" s="4"/>
    </row>
    <row r="54" spans="1:33" s="170" customFormat="1" ht="15" customHeight="1" x14ac:dyDescent="0.25">
      <c r="A54" s="169" t="s">
        <v>58</v>
      </c>
      <c r="X54" s="171"/>
      <c r="AD54" s="172"/>
      <c r="AE54" s="172"/>
      <c r="AF54" s="172"/>
      <c r="AG54" s="172"/>
    </row>
    <row r="55" spans="1:33" ht="13.5" customHeight="1" x14ac:dyDescent="0.25">
      <c r="B55" s="174"/>
    </row>
    <row r="56" spans="1:33" ht="13.5" customHeight="1" x14ac:dyDescent="0.25"/>
    <row r="57" spans="1:33" ht="13.5" customHeight="1" x14ac:dyDescent="0.25"/>
    <row r="58" spans="1:33" ht="13.5" customHeight="1" x14ac:dyDescent="0.25"/>
    <row r="59" spans="1:33" ht="13.5" customHeight="1" x14ac:dyDescent="0.25"/>
    <row r="60" spans="1:33" ht="13.5" customHeight="1" x14ac:dyDescent="0.25"/>
    <row r="61" spans="1:33" ht="13.5" customHeight="1" x14ac:dyDescent="0.25"/>
    <row r="62" spans="1:33" ht="13.5" customHeight="1" x14ac:dyDescent="0.25"/>
    <row r="63" spans="1:33" ht="13.5" customHeight="1" x14ac:dyDescent="0.25"/>
    <row r="64" spans="1:33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</sheetData>
  <sheetProtection algorithmName="SHA-512" hashValue="U6CaRHd8Al031uBcz/VpkJRHLj2uUKRL2h//kpaji0QggWPK3X1vBazhw11efe/S1da549HYpWyW54LDi8THrA==" saltValue="Wki91B2SJHexO5GjTSZN2Q==" spinCount="100000" sheet="1" objects="1" scenarios="1" selectLockedCells="1"/>
  <dataConsolidate/>
  <mergeCells count="73">
    <mergeCell ref="D32:E32"/>
    <mergeCell ref="F32:H32"/>
    <mergeCell ref="D33:E33"/>
    <mergeCell ref="F33:H33"/>
    <mergeCell ref="D34:E34"/>
    <mergeCell ref="F34:H34"/>
    <mergeCell ref="D27:E27"/>
    <mergeCell ref="F27:H27"/>
    <mergeCell ref="D28:E28"/>
    <mergeCell ref="F28:H28"/>
    <mergeCell ref="D29:E29"/>
    <mergeCell ref="F29:H29"/>
    <mergeCell ref="D24:E24"/>
    <mergeCell ref="F24:H24"/>
    <mergeCell ref="K24:L24"/>
    <mergeCell ref="D25:E25"/>
    <mergeCell ref="F25:H25"/>
    <mergeCell ref="K25:K26"/>
    <mergeCell ref="D26:E26"/>
    <mergeCell ref="F26:H26"/>
    <mergeCell ref="D23:E23"/>
    <mergeCell ref="F23:H23"/>
    <mergeCell ref="D19:E19"/>
    <mergeCell ref="F19:H19"/>
    <mergeCell ref="K19:L19"/>
    <mergeCell ref="D20:E20"/>
    <mergeCell ref="F20:H20"/>
    <mergeCell ref="K20:L20"/>
    <mergeCell ref="D21:E21"/>
    <mergeCell ref="F21:H21"/>
    <mergeCell ref="K21:L21"/>
    <mergeCell ref="D22:E22"/>
    <mergeCell ref="F22:H22"/>
    <mergeCell ref="D17:E17"/>
    <mergeCell ref="F17:H17"/>
    <mergeCell ref="K17:L17"/>
    <mergeCell ref="D18:E18"/>
    <mergeCell ref="F18:H18"/>
    <mergeCell ref="K18:L18"/>
    <mergeCell ref="P15:P16"/>
    <mergeCell ref="Q15:Q16"/>
    <mergeCell ref="R15:S15"/>
    <mergeCell ref="T15:U15"/>
    <mergeCell ref="D16:E16"/>
    <mergeCell ref="F16:H16"/>
    <mergeCell ref="K16:L16"/>
    <mergeCell ref="D14:E14"/>
    <mergeCell ref="F14:H14"/>
    <mergeCell ref="K14:L14"/>
    <mergeCell ref="D15:E15"/>
    <mergeCell ref="F15:H15"/>
    <mergeCell ref="K15:L15"/>
    <mergeCell ref="D12:E12"/>
    <mergeCell ref="F12:H12"/>
    <mergeCell ref="P12:Q12"/>
    <mergeCell ref="R12:S12"/>
    <mergeCell ref="D13:E13"/>
    <mergeCell ref="F13:H13"/>
    <mergeCell ref="D10:E10"/>
    <mergeCell ref="F10:H10"/>
    <mergeCell ref="K10:K11"/>
    <mergeCell ref="P10:Q10"/>
    <mergeCell ref="R10:S10"/>
    <mergeCell ref="D11:E11"/>
    <mergeCell ref="F11:H11"/>
    <mergeCell ref="P11:Q11"/>
    <mergeCell ref="R11:S11"/>
    <mergeCell ref="A1:XFD1"/>
    <mergeCell ref="F9:H9"/>
    <mergeCell ref="K9:L9"/>
    <mergeCell ref="P9:Q9"/>
    <mergeCell ref="R9:S9"/>
    <mergeCell ref="Z9:AA9"/>
  </mergeCells>
  <conditionalFormatting sqref="P38:P47">
    <cfRule type="expression" dxfId="63" priority="31">
      <formula>AND(OR(ISNA(VLOOKUP(P38,ModelVariablesNames,1,FALSE)),COUNTIF(OutputVariables,P38)&gt;1),NOT(ISBLANK(P38)))</formula>
    </cfRule>
  </conditionalFormatting>
  <conditionalFormatting sqref="B10:B34">
    <cfRule type="expression" dxfId="62" priority="30">
      <formula>COUNTIF(ModelVariablesNames,$B10)&gt;1</formula>
    </cfRule>
  </conditionalFormatting>
  <conditionalFormatting sqref="B38:B47">
    <cfRule type="expression" dxfId="61" priority="28">
      <formula>AND(COUNTIF(ModelODEsVariables,B38)&gt;1,NOT(ISBLANK(B38)))</formula>
    </cfRule>
    <cfRule type="expression" dxfId="60" priority="29">
      <formula>AND(ISNA(VLOOKUP(B38,ModelVariablesNames,1,FALSE)),NOT(ISBLANK(B38)))</formula>
    </cfRule>
  </conditionalFormatting>
  <conditionalFormatting sqref="K20:L20">
    <cfRule type="expression" dxfId="59" priority="27">
      <formula>OR(Action="P",Action="PD")</formula>
    </cfRule>
  </conditionalFormatting>
  <conditionalFormatting sqref="K21:L21">
    <cfRule type="expression" dxfId="58" priority="26">
      <formula>OR(Action="P",Action="PI")</formula>
    </cfRule>
  </conditionalFormatting>
  <conditionalFormatting sqref="M20">
    <cfRule type="expression" dxfId="57" priority="25">
      <formula>OR(Action="P",Action="PD")</formula>
    </cfRule>
  </conditionalFormatting>
  <conditionalFormatting sqref="M21">
    <cfRule type="expression" dxfId="56" priority="24">
      <formula>OR(Action="P",Action="PI")</formula>
    </cfRule>
  </conditionalFormatting>
  <conditionalFormatting sqref="AG31 AG33:AG34 AG18 AG20:AG21 AG23:AG27 AG36:AG38 AG40:AG45">
    <cfRule type="expression" dxfId="55" priority="23">
      <formula>AG18=FALSE</formula>
    </cfRule>
  </conditionalFormatting>
  <conditionalFormatting sqref="C10:C14 C16:C34">
    <cfRule type="expression" dxfId="54" priority="22">
      <formula>ISTEXT(C10)</formula>
    </cfRule>
  </conditionalFormatting>
  <conditionalFormatting sqref="C38:C47">
    <cfRule type="expression" dxfId="53" priority="20">
      <formula>OR(ISERROR(C38),ISTEXT(C38))</formula>
    </cfRule>
    <cfRule type="expression" dxfId="52" priority="21">
      <formula>ABS(C38)&gt;SteadyStateAccuracy</formula>
    </cfRule>
  </conditionalFormatting>
  <conditionalFormatting sqref="M9">
    <cfRule type="expression" dxfId="51" priority="19">
      <formula>AND(ISNA(VLOOKUP(MeasuredVariable,ModelVariablesNames,1,FALSE)),NOT(ISBLANK(MeasuredVariable)))</formula>
    </cfRule>
  </conditionalFormatting>
  <conditionalFormatting sqref="M14">
    <cfRule type="expression" dxfId="50" priority="18">
      <formula>AND(ISNA(VLOOKUP(ControlledVariable,ModelVariablesNames,1,FALSE)),NOT(ISBLANK(ControlledVariable)))</formula>
    </cfRule>
  </conditionalFormatting>
  <conditionalFormatting sqref="M24">
    <cfRule type="expression" dxfId="49" priority="17">
      <formula>AND(ISNA(VLOOKUP(ManipulatedVariable,ModelVariablesNames,1,FALSE)),NOT(ISBLANK(ManipulatedVariable)))</formula>
    </cfRule>
  </conditionalFormatting>
  <conditionalFormatting sqref="M15">
    <cfRule type="expression" dxfId="48" priority="16">
      <formula>(ABS(SetPoint-VLOOKUP(ControlledVariable,B10:C34,2,FALSE)))&gt;0</formula>
    </cfRule>
  </conditionalFormatting>
  <conditionalFormatting sqref="R11">
    <cfRule type="expression" dxfId="47" priority="15">
      <formula>AND(NOT(ISBLANK(FinalTime)),OR(NumSimulationValues&gt;MaxNumSimulatedValues,IntegrationStep&gt;=FinalTime))</formula>
    </cfRule>
  </conditionalFormatting>
  <conditionalFormatting sqref="M10">
    <cfRule type="expression" dxfId="46" priority="14">
      <formula>AND(NOT(ISBLANK(MeasuredVariable)),MeasuredVariableLower&gt;VLOOKUP(MeasuredVariable,$B$10:$C$34,2,FALSE))</formula>
    </cfRule>
  </conditionalFormatting>
  <conditionalFormatting sqref="M11">
    <cfRule type="expression" dxfId="45" priority="13">
      <formula>AND(NOT(ISBLANK(MeasuredVariable)),MeasuredVariableHigher&lt;VLOOKUP(MeasuredVariable,$B$10:$C$34,2,FALSE))</formula>
    </cfRule>
  </conditionalFormatting>
  <conditionalFormatting sqref="M25">
    <cfRule type="expression" dxfId="44" priority="12">
      <formula>AND(NOT(ISBLANK(ManipulatedVariable)),ManipulatedVariableLower&gt;VLOOKUP(ManipulatedVariable,ModelVariablesTable,2,FALSE))</formula>
    </cfRule>
  </conditionalFormatting>
  <conditionalFormatting sqref="M26">
    <cfRule type="expression" dxfId="43" priority="11">
      <formula>AND(NOT(ISBLANK(ManipulatedVariable)),ManipulatedVariableHigher&lt;VLOOKUP(ManipulatedVariable,ModelVariablesTable,2,FALSE))</formula>
    </cfRule>
  </conditionalFormatting>
  <conditionalFormatting sqref="R9">
    <cfRule type="expression" dxfId="42" priority="10">
      <formula>NOT(ISERR(FIND("|",TimeUnit)))</formula>
    </cfRule>
  </conditionalFormatting>
  <conditionalFormatting sqref="P17:P34">
    <cfRule type="expression" dxfId="41" priority="9">
      <formula>AND(ISNA(VLOOKUP(P17,ModelVariablesNames,1,FALSE)),P17&lt;&gt;$I$9,NOT(ISBLANK(P17)))</formula>
    </cfRule>
  </conditionalFormatting>
  <conditionalFormatting sqref="R17:R34 T17:T34">
    <cfRule type="expression" dxfId="40" priority="8">
      <formula>COUNTA($Q17)=1</formula>
    </cfRule>
  </conditionalFormatting>
  <conditionalFormatting sqref="S17:S34">
    <cfRule type="expression" dxfId="39" priority="7">
      <formula>Q17="Sinus"</formula>
    </cfRule>
  </conditionalFormatting>
  <conditionalFormatting sqref="U17:U34">
    <cfRule type="expression" dxfId="38" priority="4" stopIfTrue="1">
      <formula>IF(OR(Q17="step",ISBLANK(U17)),FALSE,OR(U17&lt;0,U17&gt;FinalTime))</formula>
    </cfRule>
    <cfRule type="expression" dxfId="37" priority="5" stopIfTrue="1">
      <formula>IF(OR(Q17="step",Q17=""),FALSE,AND(COUNTA(U17)=1,U17&lt;=T17))</formula>
    </cfRule>
    <cfRule type="expression" dxfId="36" priority="6">
      <formula>OR(Q17="Ramp",Q17="Sinus")</formula>
    </cfRule>
  </conditionalFormatting>
  <conditionalFormatting sqref="T17:U34">
    <cfRule type="expression" dxfId="35" priority="3">
      <formula>TRUNC(T17/IntegrationStep,0)&lt;&gt;T17/IntegrationStep</formula>
    </cfRule>
  </conditionalFormatting>
  <conditionalFormatting sqref="T17:T34">
    <cfRule type="expression" dxfId="34" priority="2" stopIfTrue="1">
      <formula>IF(ISBLANK(T17),FALSE,OR(T17&lt;0,T17&gt;=FinalTime))</formula>
    </cfRule>
  </conditionalFormatting>
  <conditionalFormatting sqref="Y13:Y34">
    <cfRule type="expression" dxfId="33" priority="1">
      <formula>AND(ISNA(VLOOKUP(Y13,ModelVariablesNames,1,FALSE)),NOT(ISBLANK(Y13)))</formula>
    </cfRule>
  </conditionalFormatting>
  <dataValidations count="34">
    <dataValidation type="list" showInputMessage="1" showErrorMessage="1" errorTitle="Integration Parameters" error="Do not insert unit from keyboard, select it from dropdown list." promptTitle="Integration Parameters" prompt="Select time unit of simulation._x000a__x000a_Note: It must be the same as unit which occurs in the model." sqref="R9:S9">
      <formula1>"ms,s,min,h"</formula1>
    </dataValidation>
    <dataValidation type="custom" allowBlank="1" showInputMessage="1" showErrorMessage="1" errorTitle="Model First-order ODEs" error="Formula cannot be inserted because_x000a_- it returns an error,_x000a_- it does not contain references to model variables or constants values." promptTitle="Model First-order ODEs" prompt="Insert Excel formula which calculates derivative of process variable (i.e. right-hand side of first-order ODE)._x000a__x000a_Note: For time as model variable use name &quot;time&quot;." sqref="C38:C47">
      <formula1>D38&lt;&gt;""</formula1>
    </dataValidation>
    <dataValidation type="list" allowBlank="1" showInputMessage="1" showErrorMessage="1" errorTitle="Loop Variables in Charts" error="Do not insert chart number from keyboard, select it from dropdown list." promptTitle="Loop Variables in Charts" prompt="Select chart number in which you want to see time serie of variable." sqref="AA50:AA52">
      <formula1>"1,2,3,4,5,6"</formula1>
    </dataValidation>
    <dataValidation type="list" showInputMessage="1" showErrorMessage="1" errorTitle="Loop Variables in Charts" error="Do not insert variable from keyboard, select it from dropdown list." promptTitle="Loop Variables in Charts" prompt="Select regulatory loop variable of which time serie you want to see in chart." sqref="Y50:Y52">
      <formula1>"Set Point,Error,Controller Output"</formula1>
    </dataValidation>
    <dataValidation type="list" showInputMessage="1" showErrorMessage="1" errorTitle="Measuring Element" error="Do not insert variable from keyboard, select it from dropdown list." promptTitle="Measuring Element" prompt="Select process variable which is measured." sqref="M9">
      <formula1>OFFSET($I$10,MATCH($I$10,$I$10:$I$34,0)-1,0,SUMPRODUCT(--ISTEXT($I$10:$I$34)),1)</formula1>
    </dataValidation>
    <dataValidation type="list" errorStyle="warning" operator="lessThanOrEqual" showInputMessage="1" showErrorMessage="1" errorTitle="Model First-order ODEs" error="You are inserting variable which is not in the model._x000a_This is probably due to a system of the 1st ODEs. " promptTitle="Model First-order ODEs" prompt="Select (or insert cell reference to) process variable of which the first derivative occurs in the model first-order ODE." sqref="B38:B47">
      <formula1>OFFSET($I$10,MATCH($I$10,$I$10:$I$34,0)-1,0,SUMPRODUCT(--ISTEXT($I$10:$I$34)),1)</formula1>
    </dataValidation>
    <dataValidation type="custom" showInputMessage="1" showErrorMessage="1" errorTitle="Measuring Element" error="Limit cannot be inserted because_x000a_- it is not a number_x000a_- it is less then lower limit_x000a_- it is less then value in process steady state." promptTitle="Measuring Element" prompt="Insert upper limit of measurement." sqref="M11">
      <formula1>AND(ISNUMBER(MeasuredVariableHigher),MeasuredVariableHigher&gt;MeasuredVariableLower,MeasuredVariableHigher&gt;=VLOOKUP(MeasuredVariable,ModelVariablesTable,2,FALSE))</formula1>
    </dataValidation>
    <dataValidation type="custom" showInputMessage="1" showErrorMessage="1" errorTitle="Controller" error="Gain is not inserted because_x000a_- it is not a positive integer,_x000a_- it is out of limits (0, 50&gt;." promptTitle="Controller" prompt="Insert proportional gain." sqref="M19">
      <formula1>NOT(OR(r0&lt;=GainLowerLimit,r0&gt;GainHigherLimit))</formula1>
    </dataValidation>
    <dataValidation type="custom" showInputMessage="1" showErrorMessage="1" errorTitle="Controller" error="Gain is not inserted because_x000a_- it is not a positive real number,_x000a_- it is out of limits (0, 1E+32&gt;." promptTitle="Controller" prompt="Insert integral time constant of the same time unit which occurs in the model." sqref="M20">
      <formula1>NOT(OR(Ti&lt;=IntegrationConstantLowerLimit,Ti&gt;IntegrationConstantHigherLimit))</formula1>
    </dataValidation>
    <dataValidation type="custom" showInputMessage="1" showErrorMessage="1" errorTitle="Controller" error="Gain is not inserted because_x000a_- it is not a non-negative real number,_x000a_- it is out of limits &lt;0, 1E+32&gt;." promptTitle="Controller" prompt="Insert derivative time constant of the same time unit which occurs in model." sqref="M21">
      <formula1>NOT(OR(Td&lt;DerivationConstantLowerLimit,Td&gt;DerivationConstantHigherLimit))</formula1>
    </dataValidation>
    <dataValidation type="list" showInputMessage="1" showErrorMessage="1" errorTitle="Output Variables" error="Do not insert variable from keyboard, select it from dropdown list." promptTitle="Output Variables" prompt="Select process variable which responses to disturbances." sqref="P38:P47">
      <formula1>OFFSET($Q$38,MATCH($Q$38,$Q$38:$Q$47,0)-1,0,SUMPRODUCT(--ISTEXT($Q$38:$Q$47)),1)</formula1>
    </dataValidation>
    <dataValidation type="list" showInputMessage="1" showErrorMessage="1" errorTitle="Controller" error="Do not insert mode from keyboard, select it from dropdown list." promptTitle="Controller" prompt="Select mode of action:_x000a_- If controller output tends to increase (+) when controlled variable is increasing (+), select direct mode._x000a_- If controller output tends to decrease (–) when controlled variable is increasing (+), select reverse mode." sqref="M16">
      <formula1>"Direct,Reverse"</formula1>
    </dataValidation>
    <dataValidation type="list" showInputMessage="1" showErrorMessage="1" errorTitle="Controller" error="Do not insert type from keyboard, select it from dropdown list." promptTitle="Controller" prompt="Select type of action." sqref="M18">
      <formula1>"P,PI,PD,PID"</formula1>
    </dataValidation>
    <dataValidation type="custom" allowBlank="1" showInputMessage="1" showErrorMessage="1" sqref="H36">
      <formula1>"jevzorec(G32)"</formula1>
    </dataValidation>
    <dataValidation type="list" showInputMessage="1" showErrorMessage="1" errorTitle="Integration Parameters" error="Do not insert method from keyboard, select it from dropdown list." promptTitle="Integration Parameters" prompt="Select integration method for solving model first-order ODEs." sqref="R12:S12">
      <formula1>"Euler"</formula1>
    </dataValidation>
    <dataValidation type="custom" showInputMessage="1" showErrorMessage="1" errorTitle="Controller" error="Set point cannot be inserted because it is not a number." promptTitle="Controller" prompt="Insert desired value of controlled variable." sqref="M15">
      <formula1>ISNUMBER(M15)</formula1>
    </dataValidation>
    <dataValidation type="custom" showInputMessage="1" showErrorMessage="1" errorTitle="Measuring Element" error="Limit cannot be inserted because_x000a_- it is not a number_x000a_- it is greater then value in process steady state." promptTitle="Measuring Element" prompt="Insert lower limit of measurement." sqref="M10">
      <formula1>AND(ISNUMBER(MeasuredVariableLower),MeasuredVariableLower&lt;=VLOOKUP(MeasuredVariable,ModelVariablesTable,2,FALSE))</formula1>
    </dataValidation>
    <dataValidation type="list" showInputMessage="1" showErrorMessage="1" errorTitle="Controller" error="Do not insert variable from keyboard, select it from dropdown list." promptTitle="Controller" prompt="Select process variable which is controlled." sqref="M14">
      <formula1>OFFSET($I$10,MATCH($I$10,$I$10:$I$34,0)-1,0,SUMPRODUCT(--ISTEXT($I$10:$I$34)),1)</formula1>
    </dataValidation>
    <dataValidation type="list" showInputMessage="1" showErrorMessage="1" errorTitle="Final Control Element" error="Do not insert variable from keyboard, select it from dropdown list." promptTitle="Final Control Element" prompt="Select process variable which is adjusted to maintain the controlled variable at the set point." sqref="M24">
      <formula1>OFFSET($I$10,MATCH($I$10,$I$10:$I$34,0)-1,0,SUMPRODUCT(--ISTEXT($I$10:$I$34)),1)</formula1>
    </dataValidation>
    <dataValidation type="custom" showInputMessage="1" showErrorMessage="1" errorTitle="Final Control Element" error="Limit cannot be inserted because_x000a_- it is not a number_x000a_- it is greater then value in process steady state." promptTitle="Final Control Element" prompt="Insert lower limit of adjustment." sqref="M25">
      <formula1>AND(ISNUMBER(ManipulatedVariableLower),ManipulatedVariableLower&lt;=VLOOKUP(ManipulatedVariable,ModelVariablesTable,2,FALSE))</formula1>
    </dataValidation>
    <dataValidation type="custom" showInputMessage="1" showErrorMessage="1" errorTitle="Final Control Element" error="Limit cannot be inserted because_x000a_- it is not a number_x000a_- it is less then value in process steady state." promptTitle="Final Control Element" prompt="Insert upper limit of adjustment." sqref="M26">
      <formula1>AND(ISNUMBER(ManipulatedVariableHigher),ManipulatedVariableHigher&gt;ManipulatedVariableLower,ManipulatedVariableHigher&gt;=VLOOKUP(ManipulatedVariable,ModelVariablesTable,2,FALSE))</formula1>
    </dataValidation>
    <dataValidation type="custom" allowBlank="1" showInputMessage="1" showErrorMessage="1" errorTitle="Model Variables" error="Value cannot be inserted because it is not a number." promptTitle="Model Variables" prompt="Insert Excel formula or value of process variable or material property." sqref="C10:C34">
      <formula1>ISNUMBER(C10)</formula1>
    </dataValidation>
    <dataValidation type="custom" allowBlank="1" showInputMessage="1" showErrorMessage="1" errorTitle="Model Variables" error="Description cannot be inserted because it is not a string." promptTitle="Model Variables" prompt="Insert description of process variable or material property." sqref="F10:F34 G12:H34">
      <formula1>ISTEXT(F10)</formula1>
    </dataValidation>
    <dataValidation type="custom" allowBlank="1" showInputMessage="1" showErrorMessage="1" errorTitle="Model Variables" error="Unit cannot be inserted because it is not string." promptTitle="Model Variables" prompt="Insert physical unit of process variable or material property." sqref="D10:D34 E12:E33">
      <formula1>ISTEXT(D10)</formula1>
    </dataValidation>
    <dataValidation type="custom" operator="greaterThan" allowBlank="1" showInputMessage="1" showErrorMessage="1" errorTitle="Model Variables" error="Signification cannot be inserted because_x000a_- it is not a string_x000a_- it is reserved for internal variable_x000a_- it is already defined in the model" promptTitle="Model Variables" prompt="Insert signification of process variable or material property." sqref="B10:B34">
      <formula1>AND(ISTEXT(B10),B10&lt;&gt;"time",COUNTIF($B$10:$B$34,B10)=1)</formula1>
    </dataValidation>
    <dataValidation type="list" showInputMessage="1" showErrorMessage="1" errorTitle="Disturbances" error="Do not insert variable from keyboard, select it from dropdown list." promptTitle="Disturbances" prompt="Select load variable." sqref="P17:P34">
      <formula1>IF($A$6="Model",OFFSET($I$10,MATCH($I$10,$I$10:$I$34,0)-1,0,SUMPRODUCT(--ISTEXT($I$10:$I$34)),1),OFFSET($I$9,MATCH($I$10,$I$10:$I$34,0)-1,0,SUMPRODUCT(--ISTEXT($I$10:$I$34))+1,1))</formula1>
    </dataValidation>
    <dataValidation type="list" showInputMessage="1" showErrorMessage="1" errorTitle="Disturbances" error="Do not insert type of change from keyboard, select it from dropdown list." promptTitle="Disturbances" prompt="Select type of change." sqref="Q17:Q34">
      <formula1>"step,ramp,sinus"</formula1>
    </dataValidation>
    <dataValidation type="custom" showInputMessage="1" showErrorMessage="1" errorTitle="Integration Parameters" error="Integration step is not inserted because_x000a_- it is not a positive number,_x000a_- final time has not been inserted,_x000a_- it is greater then final time,_x000a_- it is too small and so simulated values exceed 6 000 values per variable." promptTitle="Integration Parameters" prompt="Insert time step of selected integration method." sqref="R11:S11">
      <formula1>NOT(OR(NumSimulationValues=-1,IntegrationStep&lt;=0,IntegrationStep&gt;FinalTime,NumSimulationValues&gt;MaxNumSimulatedValues))</formula1>
    </dataValidation>
    <dataValidation type="custom" operator="greaterThan" showInputMessage="1" showErrorMessage="1" errorTitle="Integration Parameters" error="Time is not inserted because it is not a positive number." promptTitle="Integration Parameters" prompt="Insert final time of simulation." sqref="R10:S10">
      <formula1>NOT(OR(FinalTime&lt;=0,NOT(ISNUMBER(FinalTime))))</formula1>
    </dataValidation>
    <dataValidation type="list" showInputMessage="1" showErrorMessage="1" errorTitle="Model Variables in Charts" error="Do not insert variable from keyboard, select it from dropdown list." promptTitle="Model Variables in Charts" prompt="Select (or insert cell reference to) model variable which you want to see in chart." sqref="Y13:Y34">
      <formula1>OFFSET($I$10,MATCH($I$10,$I$10:$I$34,0)-1,0,SUMPRODUCT(--ISTEXT($I$10:$I$34)),1)</formula1>
    </dataValidation>
    <dataValidation type="list" allowBlank="1" showInputMessage="1" showErrorMessage="1" errorTitle="Charts Parameters" error="Do not insert location from keyboard, select it from dropdown list." promptTitle="Charts Parameters" prompt="Select location fo simulation charts." sqref="Z9:AA9">
      <formula1>"Embedded on report sheet, Separated chart sheet(s)"</formula1>
    </dataValidation>
    <dataValidation type="list" showInputMessage="1" showErrorMessage="1" errorTitle="Model Variables in Charts" error="Do not insert chart number from keyboard, select it from dropdown list." promptTitle="Model Variables in Charts" prompt="Select chart number in which you want to see time serie of model variable." sqref="AA13:AA34">
      <formula1>"1,2,3,4,5,6"</formula1>
    </dataValidation>
    <dataValidation type="custom" showInputMessage="1" showErrorMessage="1" errorTitle="Disturbances" error="Size is not inserted because it is not a non-zero number." promptTitle="Disturbances" prompt="Insert size of change." sqref="R17">
      <formula1>$R$17&lt;&gt;0</formula1>
    </dataValidation>
    <dataValidation type="custom" showInputMessage="1" showErrorMessage="1" errorTitle="Disturbances" error="Time is not inserted because_x000a_- it is not a number,_x000a_- final time of simulation has not been inserted,_x000a_- it is greater then final time of simulation." promptTitle="Disturbances" prompt="Insert time of change." sqref="T17">
      <formula1>AND(FinalTime&gt;0,$T$17&gt;0,$T$17&lt;FinalTime)=TRUE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econdaryAxis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11</xdr:row>
                    <xdr:rowOff>180975</xdr:rowOff>
                  </from>
                  <to>
                    <xdr:col>25</xdr:col>
                    <xdr:colOff>628650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SecondaryAxis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12</xdr:row>
                    <xdr:rowOff>180975</xdr:rowOff>
                  </from>
                  <to>
                    <xdr:col>25</xdr:col>
                    <xdr:colOff>628650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SecondaryAxis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13</xdr:row>
                    <xdr:rowOff>180975</xdr:rowOff>
                  </from>
                  <to>
                    <xdr:col>25</xdr:col>
                    <xdr:colOff>628650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SecondaryAxis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14</xdr:row>
                    <xdr:rowOff>180975</xdr:rowOff>
                  </from>
                  <to>
                    <xdr:col>25</xdr:col>
                    <xdr:colOff>628650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SecondaryAxis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15</xdr:row>
                    <xdr:rowOff>180975</xdr:rowOff>
                  </from>
                  <to>
                    <xdr:col>25</xdr:col>
                    <xdr:colOff>628650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SecondaryAxis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16</xdr:row>
                    <xdr:rowOff>180975</xdr:rowOff>
                  </from>
                  <to>
                    <xdr:col>25</xdr:col>
                    <xdr:colOff>628650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SecondaryAxis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17</xdr:row>
                    <xdr:rowOff>180975</xdr:rowOff>
                  </from>
                  <to>
                    <xdr:col>25</xdr:col>
                    <xdr:colOff>628650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SecondaryAxis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18</xdr:row>
                    <xdr:rowOff>180975</xdr:rowOff>
                  </from>
                  <to>
                    <xdr:col>25</xdr:col>
                    <xdr:colOff>628650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SecondaryAxis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19</xdr:row>
                    <xdr:rowOff>180975</xdr:rowOff>
                  </from>
                  <to>
                    <xdr:col>25</xdr:col>
                    <xdr:colOff>628650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SecondaryAxis1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20</xdr:row>
                    <xdr:rowOff>180975</xdr:rowOff>
                  </from>
                  <to>
                    <xdr:col>25</xdr:col>
                    <xdr:colOff>628650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SecondaryAxis1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21</xdr:row>
                    <xdr:rowOff>180975</xdr:rowOff>
                  </from>
                  <to>
                    <xdr:col>25</xdr:col>
                    <xdr:colOff>628650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SecondaryAxis1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22</xdr:row>
                    <xdr:rowOff>180975</xdr:rowOff>
                  </from>
                  <to>
                    <xdr:col>25</xdr:col>
                    <xdr:colOff>628650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SecondaryAxis1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23</xdr:row>
                    <xdr:rowOff>180975</xdr:rowOff>
                  </from>
                  <to>
                    <xdr:col>25</xdr:col>
                    <xdr:colOff>628650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SecondaryAxis1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24</xdr:row>
                    <xdr:rowOff>180975</xdr:rowOff>
                  </from>
                  <to>
                    <xdr:col>25</xdr:col>
                    <xdr:colOff>628650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SecondaryAxis1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25</xdr:row>
                    <xdr:rowOff>180975</xdr:rowOff>
                  </from>
                  <to>
                    <xdr:col>25</xdr:col>
                    <xdr:colOff>628650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SecondaryAxis1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26</xdr:row>
                    <xdr:rowOff>180975</xdr:rowOff>
                  </from>
                  <to>
                    <xdr:col>25</xdr:col>
                    <xdr:colOff>628650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SecondaryAxis1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27</xdr:row>
                    <xdr:rowOff>180975</xdr:rowOff>
                  </from>
                  <to>
                    <xdr:col>25</xdr:col>
                    <xdr:colOff>628650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SecondaryAxis1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28</xdr:row>
                    <xdr:rowOff>180975</xdr:rowOff>
                  </from>
                  <to>
                    <xdr:col>25</xdr:col>
                    <xdr:colOff>628650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SecondaryAxis1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29</xdr:row>
                    <xdr:rowOff>180975</xdr:rowOff>
                  </from>
                  <to>
                    <xdr:col>25</xdr:col>
                    <xdr:colOff>628650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SecondaryAxis2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30</xdr:row>
                    <xdr:rowOff>180975</xdr:rowOff>
                  </from>
                  <to>
                    <xdr:col>25</xdr:col>
                    <xdr:colOff>628650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SecondaryAxis2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31</xdr:row>
                    <xdr:rowOff>180975</xdr:rowOff>
                  </from>
                  <to>
                    <xdr:col>25</xdr:col>
                    <xdr:colOff>628650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SecondaryAxis2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32</xdr:row>
                    <xdr:rowOff>180975</xdr:rowOff>
                  </from>
                  <to>
                    <xdr:col>25</xdr:col>
                    <xdr:colOff>628650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SecondaryAxis2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48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SecondaryAxis2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49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SecondaryAxis2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50</xdr:row>
                    <xdr:rowOff>180975</xdr:rowOff>
                  </from>
                  <to>
                    <xdr:col>25</xdr:col>
                    <xdr:colOff>628650</xdr:colOff>
                    <xdr:row>53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SICREPORT">
    <tabColor rgb="FFFFFFB4"/>
  </sheetPr>
  <dimension ref="A1:AZ633"/>
  <sheetViews>
    <sheetView showGridLines="0" zoomScaleNormal="100" workbookViewId="0">
      <selection activeCell="C11" sqref="C11"/>
    </sheetView>
  </sheetViews>
  <sheetFormatPr defaultRowHeight="15" x14ac:dyDescent="0.25"/>
  <cols>
    <col min="1" max="1" width="2.7109375" style="174" customWidth="1"/>
    <col min="2" max="7" width="12.7109375" style="174" customWidth="1"/>
    <col min="8" max="8" width="14.140625" style="174" bestFit="1" customWidth="1"/>
    <col min="9" max="11" width="12.7109375" style="174" customWidth="1"/>
    <col min="12" max="28" width="12.7109375" style="174" hidden="1" customWidth="1"/>
    <col min="29" max="29" width="4.7109375" style="174" customWidth="1"/>
    <col min="30" max="30" width="2.7109375" style="174" customWidth="1"/>
    <col min="31" max="31" width="18.7109375" style="174" customWidth="1"/>
    <col min="32" max="32" width="12.7109375" style="174" customWidth="1"/>
    <col min="33" max="41" width="12.7109375" style="174" hidden="1" customWidth="1"/>
    <col min="42" max="42" width="4.7109375" style="174" customWidth="1"/>
    <col min="43" max="43" width="2.7109375" style="174" hidden="1" customWidth="1"/>
    <col min="44" max="44" width="18.7109375" style="174" hidden="1" customWidth="1"/>
    <col min="45" max="48" width="12.7109375" style="174" hidden="1" customWidth="1"/>
    <col min="49" max="49" width="2.7109375" style="58" hidden="1" customWidth="1"/>
    <col min="50" max="51" width="20.7109375" style="58" hidden="1" customWidth="1"/>
    <col min="52" max="52" width="12.7109375" style="58" hidden="1" customWidth="1"/>
    <col min="53" max="16384" width="9.140625" style="174"/>
  </cols>
  <sheetData>
    <row r="1" spans="1:52" s="263" customFormat="1" ht="20.100000000000001" customHeight="1" x14ac:dyDescent="0.25"/>
    <row r="2" spans="1:52" ht="12.75" customHeight="1" x14ac:dyDescent="0.25">
      <c r="A2" s="176" t="s">
        <v>82</v>
      </c>
      <c r="B2" s="177"/>
      <c r="C2" s="177"/>
      <c r="D2" s="178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</row>
    <row r="3" spans="1:52" ht="12.75" customHeight="1" x14ac:dyDescent="0.25">
      <c r="A3" s="179" t="s">
        <v>107</v>
      </c>
      <c r="B3" s="177"/>
      <c r="C3" s="177"/>
      <c r="D3" s="178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</row>
    <row r="4" spans="1:52" ht="12.75" customHeight="1" x14ac:dyDescent="0.25">
      <c r="A4" s="180"/>
      <c r="B4" s="177"/>
      <c r="C4" s="177"/>
      <c r="D4" s="178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81"/>
      <c r="AU4" s="181"/>
    </row>
    <row r="5" spans="1:52" s="173" customFormat="1" ht="15" customHeight="1" x14ac:dyDescent="0.25">
      <c r="A5" s="182" t="s">
        <v>76</v>
      </c>
      <c r="B5" s="3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81"/>
      <c r="AU5" s="181"/>
      <c r="AW5" s="58"/>
      <c r="AX5" s="58"/>
      <c r="AY5" s="58"/>
      <c r="AZ5" s="58"/>
    </row>
    <row r="6" spans="1:52" s="173" customFormat="1" ht="15" customHeight="1" x14ac:dyDescent="0.25">
      <c r="A6" s="11" t="s">
        <v>60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81"/>
      <c r="AU6" s="181"/>
      <c r="AW6" s="58"/>
      <c r="AX6" s="58"/>
      <c r="AY6" s="58"/>
      <c r="AZ6" s="58"/>
    </row>
    <row r="7" spans="1:52" s="185" customFormat="1" ht="15" customHeight="1" x14ac:dyDescent="0.3">
      <c r="A7" s="13" t="s">
        <v>0</v>
      </c>
      <c r="B7" s="27"/>
      <c r="C7" s="183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4"/>
      <c r="Y7" s="14"/>
      <c r="Z7" s="14"/>
      <c r="AA7" s="14"/>
      <c r="AB7" s="14"/>
      <c r="AC7" s="14"/>
      <c r="AD7" s="14"/>
      <c r="AE7" s="1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3" t="s">
        <v>1</v>
      </c>
      <c r="AR7" s="14"/>
      <c r="AS7" s="184"/>
      <c r="AT7" s="184"/>
      <c r="AU7" s="184"/>
      <c r="AW7" s="97" t="s">
        <v>68</v>
      </c>
      <c r="AX7" s="39"/>
      <c r="AY7" s="39"/>
      <c r="AZ7" s="39"/>
    </row>
    <row r="8" spans="1:52" s="185" customFormat="1" ht="15" customHeight="1" thickBot="1" x14ac:dyDescent="0.3">
      <c r="A8" s="25" t="s">
        <v>5</v>
      </c>
      <c r="B8" s="27"/>
      <c r="C8" s="186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  <c r="Y8" s="188"/>
      <c r="Z8" s="188"/>
      <c r="AA8" s="188"/>
      <c r="AB8" s="188"/>
      <c r="AC8" s="12"/>
      <c r="AD8" s="27" t="s">
        <v>53</v>
      </c>
      <c r="AE8" s="27"/>
      <c r="AF8" s="189" t="str">
        <f t="shared" ref="AF8:AO8" si="0">ADDRESS(12,3+MATCH(AF9,ModelVariablesNames,0),4,1,)</f>
        <v>E12</v>
      </c>
      <c r="AG8" s="189" t="e">
        <f t="shared" si="0"/>
        <v>#N/A</v>
      </c>
      <c r="AH8" s="189" t="e">
        <f t="shared" si="0"/>
        <v>#N/A</v>
      </c>
      <c r="AI8" s="189" t="e">
        <f t="shared" si="0"/>
        <v>#N/A</v>
      </c>
      <c r="AJ8" s="189" t="e">
        <f t="shared" si="0"/>
        <v>#N/A</v>
      </c>
      <c r="AK8" s="189" t="e">
        <f t="shared" si="0"/>
        <v>#N/A</v>
      </c>
      <c r="AL8" s="189" t="e">
        <f t="shared" si="0"/>
        <v>#N/A</v>
      </c>
      <c r="AM8" s="189" t="e">
        <f t="shared" si="0"/>
        <v>#N/A</v>
      </c>
      <c r="AN8" s="189" t="e">
        <f t="shared" si="0"/>
        <v>#N/A</v>
      </c>
      <c r="AO8" s="189" t="e">
        <f t="shared" si="0"/>
        <v>#N/A</v>
      </c>
      <c r="AP8" s="16"/>
      <c r="AQ8" s="27" t="s">
        <v>28</v>
      </c>
      <c r="AR8" s="27"/>
      <c r="AS8" s="189" t="e">
        <f>ADDRESS(11,3+MATCH(AS9,ModelVariablesNames,0),4,1,)</f>
        <v>#N/A</v>
      </c>
      <c r="AT8" s="189" t="e">
        <f>ADDRESS(12,3+MATCH(AT9,ModelVariablesNames,0),4,1,)</f>
        <v>#N/A</v>
      </c>
      <c r="AU8" s="189" t="e">
        <f>ADDRESS(12,3+MATCH(AU9,ModelVariablesNames,0),4,1,)</f>
        <v>#N/A</v>
      </c>
      <c r="AW8" s="116" t="s">
        <v>2</v>
      </c>
      <c r="AX8" s="65"/>
      <c r="AY8" s="65"/>
      <c r="AZ8" s="126"/>
    </row>
    <row r="9" spans="1:52" s="185" customFormat="1" ht="15" customHeight="1" thickBot="1" x14ac:dyDescent="0.3">
      <c r="A9" s="25"/>
      <c r="B9" s="190" t="s">
        <v>9</v>
      </c>
      <c r="C9" s="191" t="s">
        <v>64</v>
      </c>
      <c r="D9" s="192" t="s">
        <v>84</v>
      </c>
      <c r="E9" s="192" t="s">
        <v>85</v>
      </c>
      <c r="F9" s="192" t="s">
        <v>86</v>
      </c>
      <c r="G9" s="192" t="s">
        <v>87</v>
      </c>
      <c r="H9" s="192" t="s">
        <v>88</v>
      </c>
      <c r="I9" s="192" t="s">
        <v>89</v>
      </c>
      <c r="J9" s="192" t="s">
        <v>90</v>
      </c>
      <c r="K9" s="192" t="s">
        <v>91</v>
      </c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3"/>
      <c r="Y9" s="193"/>
      <c r="Z9" s="193"/>
      <c r="AA9" s="193"/>
      <c r="AB9" s="193"/>
      <c r="AC9" s="194"/>
      <c r="AD9" s="194"/>
      <c r="AE9" s="190" t="s">
        <v>55</v>
      </c>
      <c r="AF9" s="195" t="s">
        <v>85</v>
      </c>
      <c r="AG9" s="195"/>
      <c r="AH9" s="195"/>
      <c r="AI9" s="195"/>
      <c r="AJ9" s="195"/>
      <c r="AK9" s="195"/>
      <c r="AL9" s="195"/>
      <c r="AM9" s="195"/>
      <c r="AN9" s="195"/>
      <c r="AO9" s="195"/>
      <c r="AP9" s="196"/>
      <c r="AQ9" s="27"/>
      <c r="AR9" s="190" t="s">
        <v>9</v>
      </c>
      <c r="AS9" s="197"/>
      <c r="AT9" s="198"/>
      <c r="AU9" s="199"/>
      <c r="AW9" s="215"/>
      <c r="AX9" s="216" t="s">
        <v>22</v>
      </c>
      <c r="AY9" s="217"/>
      <c r="AZ9" s="218">
        <v>0.1</v>
      </c>
    </row>
    <row r="10" spans="1:52" s="185" customFormat="1" ht="15" customHeight="1" thickBot="1" x14ac:dyDescent="0.3">
      <c r="A10" s="200"/>
      <c r="B10" s="201" t="s">
        <v>11</v>
      </c>
      <c r="C10" s="202" t="s">
        <v>108</v>
      </c>
      <c r="D10" s="203" t="s">
        <v>92</v>
      </c>
      <c r="E10" s="203" t="s">
        <v>92</v>
      </c>
      <c r="F10" s="203" t="s">
        <v>93</v>
      </c>
      <c r="G10" s="203" t="s">
        <v>94</v>
      </c>
      <c r="H10" s="203" t="s">
        <v>97</v>
      </c>
      <c r="I10" s="203"/>
      <c r="J10" s="203" t="s">
        <v>96</v>
      </c>
      <c r="K10" s="203" t="s">
        <v>95</v>
      </c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4"/>
      <c r="Y10" s="204"/>
      <c r="Z10" s="204"/>
      <c r="AA10" s="204"/>
      <c r="AB10" s="204"/>
      <c r="AC10" s="194"/>
      <c r="AD10" s="194"/>
      <c r="AE10" s="201" t="s">
        <v>11</v>
      </c>
      <c r="AF10" s="203" t="str">
        <f t="shared" ref="AF10:AO10" si="1">IFERROR(HLOOKUP(AF9,$C$9:$AB$10,2,FALSE)&amp;"/"&amp;SimulationTimeUnit,)</f>
        <v>°C/min</v>
      </c>
      <c r="AG10" s="203">
        <f t="shared" si="1"/>
        <v>0</v>
      </c>
      <c r="AH10" s="203">
        <f t="shared" si="1"/>
        <v>0</v>
      </c>
      <c r="AI10" s="203">
        <f t="shared" si="1"/>
        <v>0</v>
      </c>
      <c r="AJ10" s="203">
        <f t="shared" si="1"/>
        <v>0</v>
      </c>
      <c r="AK10" s="203">
        <f t="shared" si="1"/>
        <v>0</v>
      </c>
      <c r="AL10" s="203">
        <f t="shared" si="1"/>
        <v>0</v>
      </c>
      <c r="AM10" s="203">
        <f t="shared" si="1"/>
        <v>0</v>
      </c>
      <c r="AN10" s="203">
        <f t="shared" si="1"/>
        <v>0</v>
      </c>
      <c r="AO10" s="203">
        <f t="shared" si="1"/>
        <v>0</v>
      </c>
      <c r="AP10" s="194"/>
      <c r="AQ10" s="27"/>
      <c r="AR10" s="201" t="s">
        <v>11</v>
      </c>
      <c r="AS10" s="205">
        <v>1</v>
      </c>
      <c r="AT10" s="206" t="s">
        <v>65</v>
      </c>
      <c r="AU10" s="205"/>
      <c r="AW10" s="215"/>
      <c r="AX10" s="215"/>
      <c r="AY10" s="215"/>
      <c r="AZ10" s="215"/>
    </row>
    <row r="11" spans="1:52" s="185" customFormat="1" ht="15" customHeight="1" x14ac:dyDescent="0.25">
      <c r="A11" s="200"/>
      <c r="B11" s="207" t="s">
        <v>66</v>
      </c>
      <c r="C11" s="208">
        <f>time</f>
        <v>0</v>
      </c>
      <c r="D11" s="209">
        <v>15</v>
      </c>
      <c r="E11" s="209">
        <f>D11+H11*I11/F11/J11/K11</f>
        <v>40.794124671602574</v>
      </c>
      <c r="F11" s="209">
        <v>0.5</v>
      </c>
      <c r="G11" s="209">
        <v>5</v>
      </c>
      <c r="H11" s="209">
        <v>60</v>
      </c>
      <c r="I11" s="209">
        <v>0.9</v>
      </c>
      <c r="J11" s="209">
        <v>1</v>
      </c>
      <c r="K11" s="209">
        <v>4.1870000000000003</v>
      </c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196"/>
      <c r="AD11" s="27"/>
      <c r="AE11" s="210" t="s">
        <v>66</v>
      </c>
      <c r="AF11" s="209">
        <f>F11/G11*(D11-E11)+H11*I11/G11/J11/K11</f>
        <v>0</v>
      </c>
      <c r="AG11" s="209"/>
      <c r="AH11" s="209"/>
      <c r="AI11" s="209"/>
      <c r="AJ11" s="209"/>
      <c r="AK11" s="209"/>
      <c r="AL11" s="209"/>
      <c r="AM11" s="209"/>
      <c r="AN11" s="209"/>
      <c r="AO11" s="209"/>
      <c r="AP11" s="196"/>
      <c r="AQ11" s="196"/>
      <c r="AR11" s="207" t="s">
        <v>66</v>
      </c>
      <c r="AS11" s="208"/>
      <c r="AT11" s="208"/>
      <c r="AU11" s="208"/>
      <c r="AW11" s="116" t="s">
        <v>69</v>
      </c>
      <c r="AX11" s="65"/>
      <c r="AY11" s="65"/>
      <c r="AZ11" s="126"/>
    </row>
    <row r="12" spans="1:52" s="185" customFormat="1" ht="15" customHeight="1" thickBot="1" x14ac:dyDescent="0.3">
      <c r="A12" s="200"/>
      <c r="B12" s="211"/>
      <c r="C12" s="212">
        <f t="shared" ref="C12:C75" si="2">C11+IntegrationStep</f>
        <v>0.1</v>
      </c>
      <c r="D12" s="212">
        <f>15</f>
        <v>15</v>
      </c>
      <c r="E12" s="212">
        <f>E11+(C12-C11)*AF11</f>
        <v>40.794124671602574</v>
      </c>
      <c r="F12" s="212">
        <f>0.5</f>
        <v>0.5</v>
      </c>
      <c r="G12" s="212">
        <f>5</f>
        <v>5</v>
      </c>
      <c r="H12" s="212">
        <f>60</f>
        <v>60</v>
      </c>
      <c r="I12" s="212">
        <f>0.9</f>
        <v>0.9</v>
      </c>
      <c r="J12" s="212">
        <f>1</f>
        <v>1</v>
      </c>
      <c r="K12" s="212">
        <f>4.187</f>
        <v>4.1870000000000003</v>
      </c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196"/>
      <c r="AD12" s="27"/>
      <c r="AE12" s="213"/>
      <c r="AF12" s="212">
        <f>F12/G12*(D12-E12)+H12*I12/G12/J12/K12</f>
        <v>0</v>
      </c>
      <c r="AG12" s="212"/>
      <c r="AH12" s="212"/>
      <c r="AI12" s="212"/>
      <c r="AJ12" s="212"/>
      <c r="AK12" s="212"/>
      <c r="AL12" s="212"/>
      <c r="AM12" s="212"/>
      <c r="AN12" s="212"/>
      <c r="AO12" s="212"/>
      <c r="AP12" s="196"/>
      <c r="AQ12" s="196"/>
      <c r="AR12" s="211"/>
      <c r="AS12" s="212"/>
      <c r="AT12" s="212"/>
      <c r="AU12" s="212"/>
      <c r="AW12" s="116" t="s">
        <v>70</v>
      </c>
      <c r="AX12" s="215"/>
      <c r="AY12" s="215"/>
      <c r="AZ12" s="215"/>
    </row>
    <row r="13" spans="1:52" s="185" customFormat="1" ht="15" customHeight="1" x14ac:dyDescent="0.25">
      <c r="A13" s="200"/>
      <c r="B13" s="211"/>
      <c r="C13" s="212">
        <f t="shared" si="2"/>
        <v>0.2</v>
      </c>
      <c r="D13" s="212">
        <f>15</f>
        <v>15</v>
      </c>
      <c r="E13" s="212">
        <f t="shared" ref="E13:E76" si="3">E12+(C13-C12)*AF12</f>
        <v>40.794124671602574</v>
      </c>
      <c r="F13" s="212">
        <f t="shared" ref="F13:F76" si="4">0.5</f>
        <v>0.5</v>
      </c>
      <c r="G13" s="212">
        <f>5</f>
        <v>5</v>
      </c>
      <c r="H13" s="212">
        <f>60</f>
        <v>60</v>
      </c>
      <c r="I13" s="212">
        <f t="shared" ref="I13:I76" si="5">0.9</f>
        <v>0.9</v>
      </c>
      <c r="J13" s="212">
        <f>1</f>
        <v>1</v>
      </c>
      <c r="K13" s="212">
        <f t="shared" ref="K13:K76" si="6">4.187</f>
        <v>4.1870000000000003</v>
      </c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196"/>
      <c r="AD13" s="27"/>
      <c r="AE13" s="213"/>
      <c r="AF13" s="212">
        <f t="shared" ref="AF13:AF76" si="7">F13/G13*(D13-E13)+H13*I13/G13/J13/K13</f>
        <v>0</v>
      </c>
      <c r="AG13" s="212"/>
      <c r="AH13" s="212"/>
      <c r="AI13" s="212"/>
      <c r="AJ13" s="212"/>
      <c r="AK13" s="212"/>
      <c r="AL13" s="212"/>
      <c r="AM13" s="212"/>
      <c r="AN13" s="212"/>
      <c r="AO13" s="212"/>
      <c r="AP13" s="196"/>
      <c r="AQ13" s="196"/>
      <c r="AR13" s="211"/>
      <c r="AS13" s="212"/>
      <c r="AT13" s="212"/>
      <c r="AU13" s="212"/>
      <c r="AW13" s="215"/>
      <c r="AX13" s="264" t="s">
        <v>71</v>
      </c>
      <c r="AY13" s="219" t="s">
        <v>18</v>
      </c>
      <c r="AZ13" s="220"/>
    </row>
    <row r="14" spans="1:52" s="185" customFormat="1" ht="15" customHeight="1" thickBot="1" x14ac:dyDescent="0.3">
      <c r="A14" s="200"/>
      <c r="B14" s="211"/>
      <c r="C14" s="212">
        <f t="shared" si="2"/>
        <v>0.30000000000000004</v>
      </c>
      <c r="D14" s="212">
        <f>15</f>
        <v>15</v>
      </c>
      <c r="E14" s="212">
        <f t="shared" si="3"/>
        <v>40.794124671602574</v>
      </c>
      <c r="F14" s="212">
        <f t="shared" si="4"/>
        <v>0.5</v>
      </c>
      <c r="G14" s="212">
        <f>5</f>
        <v>5</v>
      </c>
      <c r="H14" s="212">
        <f>60</f>
        <v>60</v>
      </c>
      <c r="I14" s="212">
        <f t="shared" si="5"/>
        <v>0.9</v>
      </c>
      <c r="J14" s="212">
        <f>1</f>
        <v>1</v>
      </c>
      <c r="K14" s="212">
        <f t="shared" si="6"/>
        <v>4.1870000000000003</v>
      </c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196"/>
      <c r="AD14" s="27"/>
      <c r="AE14" s="213"/>
      <c r="AF14" s="212">
        <f t="shared" si="7"/>
        <v>0</v>
      </c>
      <c r="AG14" s="212"/>
      <c r="AH14" s="212"/>
      <c r="AI14" s="212"/>
      <c r="AJ14" s="212"/>
      <c r="AK14" s="212"/>
      <c r="AL14" s="212"/>
      <c r="AM14" s="212"/>
      <c r="AN14" s="212"/>
      <c r="AO14" s="212"/>
      <c r="AP14" s="196"/>
      <c r="AQ14" s="196"/>
      <c r="AR14" s="211"/>
      <c r="AS14" s="212"/>
      <c r="AT14" s="212"/>
      <c r="AU14" s="212"/>
      <c r="AW14" s="215"/>
      <c r="AX14" s="265"/>
      <c r="AY14" s="221" t="s">
        <v>72</v>
      </c>
      <c r="AZ14" s="222"/>
    </row>
    <row r="15" spans="1:52" s="185" customFormat="1" ht="15" customHeight="1" thickBot="1" x14ac:dyDescent="0.3">
      <c r="A15" s="200"/>
      <c r="B15" s="211"/>
      <c r="C15" s="212">
        <f t="shared" si="2"/>
        <v>0.4</v>
      </c>
      <c r="D15" s="212">
        <f>15</f>
        <v>15</v>
      </c>
      <c r="E15" s="212">
        <f t="shared" si="3"/>
        <v>40.794124671602574</v>
      </c>
      <c r="F15" s="212">
        <f t="shared" si="4"/>
        <v>0.5</v>
      </c>
      <c r="G15" s="212">
        <f>5</f>
        <v>5</v>
      </c>
      <c r="H15" s="212">
        <f>60</f>
        <v>60</v>
      </c>
      <c r="I15" s="212">
        <f t="shared" si="5"/>
        <v>0.9</v>
      </c>
      <c r="J15" s="212">
        <f>1</f>
        <v>1</v>
      </c>
      <c r="K15" s="212">
        <f t="shared" si="6"/>
        <v>4.1870000000000003</v>
      </c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196"/>
      <c r="AD15" s="27"/>
      <c r="AE15" s="213"/>
      <c r="AF15" s="212">
        <f t="shared" si="7"/>
        <v>0</v>
      </c>
      <c r="AG15" s="212"/>
      <c r="AH15" s="212"/>
      <c r="AI15" s="212"/>
      <c r="AJ15" s="212"/>
      <c r="AK15" s="212"/>
      <c r="AL15" s="212"/>
      <c r="AM15" s="212"/>
      <c r="AN15" s="212"/>
      <c r="AO15" s="212"/>
      <c r="AP15" s="196"/>
      <c r="AQ15" s="196"/>
      <c r="AR15" s="211"/>
      <c r="AS15" s="212"/>
      <c r="AT15" s="212"/>
      <c r="AU15" s="212"/>
      <c r="AW15" s="116" t="s">
        <v>28</v>
      </c>
      <c r="AX15" s="215"/>
      <c r="AY15" s="215"/>
      <c r="AZ15" s="215"/>
    </row>
    <row r="16" spans="1:52" s="185" customFormat="1" ht="15" customHeight="1" x14ac:dyDescent="0.25">
      <c r="A16" s="200"/>
      <c r="B16" s="211"/>
      <c r="C16" s="212">
        <f t="shared" si="2"/>
        <v>0.5</v>
      </c>
      <c r="D16" s="212">
        <f>15</f>
        <v>15</v>
      </c>
      <c r="E16" s="212">
        <f t="shared" si="3"/>
        <v>40.794124671602574</v>
      </c>
      <c r="F16" s="212">
        <f t="shared" si="4"/>
        <v>0.5</v>
      </c>
      <c r="G16" s="212">
        <f>5</f>
        <v>5</v>
      </c>
      <c r="H16" s="212">
        <f>60</f>
        <v>60</v>
      </c>
      <c r="I16" s="212">
        <f t="shared" si="5"/>
        <v>0.9</v>
      </c>
      <c r="J16" s="212">
        <f>1</f>
        <v>1</v>
      </c>
      <c r="K16" s="212">
        <f t="shared" si="6"/>
        <v>4.1870000000000003</v>
      </c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196"/>
      <c r="AD16" s="27"/>
      <c r="AE16" s="213"/>
      <c r="AF16" s="212">
        <f t="shared" si="7"/>
        <v>0</v>
      </c>
      <c r="AG16" s="212"/>
      <c r="AH16" s="212"/>
      <c r="AI16" s="212"/>
      <c r="AJ16" s="212"/>
      <c r="AK16" s="212"/>
      <c r="AL16" s="212"/>
      <c r="AM16" s="212"/>
      <c r="AN16" s="212"/>
      <c r="AO16" s="212"/>
      <c r="AP16" s="196"/>
      <c r="AQ16" s="196"/>
      <c r="AR16" s="211"/>
      <c r="AS16" s="212"/>
      <c r="AT16" s="212"/>
      <c r="AU16" s="212"/>
      <c r="AW16" s="215"/>
      <c r="AX16" s="40" t="s">
        <v>33</v>
      </c>
      <c r="AY16" s="223"/>
      <c r="AZ16" s="224"/>
    </row>
    <row r="17" spans="1:52" s="185" customFormat="1" ht="15" customHeight="1" x14ac:dyDescent="0.25">
      <c r="A17" s="200"/>
      <c r="B17" s="211"/>
      <c r="C17" s="212">
        <f t="shared" si="2"/>
        <v>0.6</v>
      </c>
      <c r="D17" s="212">
        <f>15</f>
        <v>15</v>
      </c>
      <c r="E17" s="212">
        <f t="shared" si="3"/>
        <v>40.794124671602574</v>
      </c>
      <c r="F17" s="212">
        <f t="shared" si="4"/>
        <v>0.5</v>
      </c>
      <c r="G17" s="212">
        <f>5</f>
        <v>5</v>
      </c>
      <c r="H17" s="212">
        <f>60</f>
        <v>60</v>
      </c>
      <c r="I17" s="212">
        <f t="shared" si="5"/>
        <v>0.9</v>
      </c>
      <c r="J17" s="212">
        <f>1</f>
        <v>1</v>
      </c>
      <c r="K17" s="212">
        <f t="shared" si="6"/>
        <v>4.1870000000000003</v>
      </c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196"/>
      <c r="AD17" s="27"/>
      <c r="AE17" s="213"/>
      <c r="AF17" s="212">
        <f t="shared" si="7"/>
        <v>0</v>
      </c>
      <c r="AG17" s="212"/>
      <c r="AH17" s="212"/>
      <c r="AI17" s="212"/>
      <c r="AJ17" s="212"/>
      <c r="AK17" s="212"/>
      <c r="AL17" s="212"/>
      <c r="AM17" s="212"/>
      <c r="AN17" s="212"/>
      <c r="AO17" s="212"/>
      <c r="AP17" s="196"/>
      <c r="AQ17" s="196"/>
      <c r="AR17" s="211"/>
      <c r="AS17" s="212"/>
      <c r="AT17" s="212"/>
      <c r="AU17" s="212"/>
      <c r="AW17" s="215"/>
      <c r="AX17" s="113" t="s">
        <v>37</v>
      </c>
      <c r="AY17" s="225"/>
      <c r="AZ17" s="226"/>
    </row>
    <row r="18" spans="1:52" s="185" customFormat="1" ht="15" customHeight="1" x14ac:dyDescent="0.25">
      <c r="A18" s="200"/>
      <c r="B18" s="211"/>
      <c r="C18" s="212">
        <f t="shared" si="2"/>
        <v>0.7</v>
      </c>
      <c r="D18" s="212">
        <f>15</f>
        <v>15</v>
      </c>
      <c r="E18" s="212">
        <f t="shared" si="3"/>
        <v>40.794124671602574</v>
      </c>
      <c r="F18" s="212">
        <f t="shared" si="4"/>
        <v>0.5</v>
      </c>
      <c r="G18" s="212">
        <f>5</f>
        <v>5</v>
      </c>
      <c r="H18" s="212">
        <f>60</f>
        <v>60</v>
      </c>
      <c r="I18" s="212">
        <f t="shared" si="5"/>
        <v>0.9</v>
      </c>
      <c r="J18" s="212">
        <f>1</f>
        <v>1</v>
      </c>
      <c r="K18" s="212">
        <f t="shared" si="6"/>
        <v>4.1870000000000003</v>
      </c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196"/>
      <c r="AD18" s="27"/>
      <c r="AE18" s="213"/>
      <c r="AF18" s="212">
        <f t="shared" si="7"/>
        <v>0</v>
      </c>
      <c r="AG18" s="212"/>
      <c r="AH18" s="212"/>
      <c r="AI18" s="212"/>
      <c r="AJ18" s="212"/>
      <c r="AK18" s="212"/>
      <c r="AL18" s="212"/>
      <c r="AM18" s="212"/>
      <c r="AN18" s="212"/>
      <c r="AO18" s="212"/>
      <c r="AP18" s="196"/>
      <c r="AQ18" s="196"/>
      <c r="AR18" s="211"/>
      <c r="AS18" s="212"/>
      <c r="AT18" s="212"/>
      <c r="AU18" s="212"/>
      <c r="AW18" s="215"/>
      <c r="AX18" s="113" t="s">
        <v>44</v>
      </c>
      <c r="AY18" s="225"/>
      <c r="AZ18" s="227"/>
    </row>
    <row r="19" spans="1:52" s="185" customFormat="1" ht="15" customHeight="1" x14ac:dyDescent="0.25">
      <c r="A19" s="200"/>
      <c r="B19" s="211"/>
      <c r="C19" s="212">
        <f t="shared" si="2"/>
        <v>0.79999999999999993</v>
      </c>
      <c r="D19" s="212">
        <f>15</f>
        <v>15</v>
      </c>
      <c r="E19" s="212">
        <f t="shared" si="3"/>
        <v>40.794124671602574</v>
      </c>
      <c r="F19" s="212">
        <f t="shared" si="4"/>
        <v>0.5</v>
      </c>
      <c r="G19" s="212">
        <f>5</f>
        <v>5</v>
      </c>
      <c r="H19" s="212">
        <f>60</f>
        <v>60</v>
      </c>
      <c r="I19" s="212">
        <f t="shared" si="5"/>
        <v>0.9</v>
      </c>
      <c r="J19" s="212">
        <f>1</f>
        <v>1</v>
      </c>
      <c r="K19" s="212">
        <f t="shared" si="6"/>
        <v>4.1870000000000003</v>
      </c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196"/>
      <c r="AD19" s="27"/>
      <c r="AE19" s="213"/>
      <c r="AF19" s="212">
        <f t="shared" si="7"/>
        <v>0</v>
      </c>
      <c r="AG19" s="212"/>
      <c r="AH19" s="212"/>
      <c r="AI19" s="212"/>
      <c r="AJ19" s="212"/>
      <c r="AK19" s="212"/>
      <c r="AL19" s="212"/>
      <c r="AM19" s="212"/>
      <c r="AN19" s="212"/>
      <c r="AO19" s="212"/>
      <c r="AP19" s="196"/>
      <c r="AQ19" s="196"/>
      <c r="AR19" s="211"/>
      <c r="AS19" s="212"/>
      <c r="AT19" s="212"/>
      <c r="AU19" s="212"/>
      <c r="AW19" s="215"/>
      <c r="AX19" s="113" t="s">
        <v>73</v>
      </c>
      <c r="AY19" s="225"/>
      <c r="AZ19" s="227"/>
    </row>
    <row r="20" spans="1:52" s="185" customFormat="1" ht="15" customHeight="1" x14ac:dyDescent="0.25">
      <c r="A20" s="200"/>
      <c r="B20" s="211"/>
      <c r="C20" s="212">
        <f t="shared" si="2"/>
        <v>0.89999999999999991</v>
      </c>
      <c r="D20" s="212">
        <f>15</f>
        <v>15</v>
      </c>
      <c r="E20" s="212">
        <f t="shared" si="3"/>
        <v>40.794124671602574</v>
      </c>
      <c r="F20" s="212">
        <f t="shared" si="4"/>
        <v>0.5</v>
      </c>
      <c r="G20" s="212">
        <f>5</f>
        <v>5</v>
      </c>
      <c r="H20" s="212">
        <f>60</f>
        <v>60</v>
      </c>
      <c r="I20" s="212">
        <f t="shared" si="5"/>
        <v>0.9</v>
      </c>
      <c r="J20" s="212">
        <f>1</f>
        <v>1</v>
      </c>
      <c r="K20" s="212">
        <f t="shared" si="6"/>
        <v>4.1870000000000003</v>
      </c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196"/>
      <c r="AD20" s="27"/>
      <c r="AE20" s="213"/>
      <c r="AF20" s="212">
        <f t="shared" si="7"/>
        <v>0</v>
      </c>
      <c r="AG20" s="212"/>
      <c r="AH20" s="212"/>
      <c r="AI20" s="212"/>
      <c r="AJ20" s="212"/>
      <c r="AK20" s="212"/>
      <c r="AL20" s="212"/>
      <c r="AM20" s="212"/>
      <c r="AN20" s="212"/>
      <c r="AO20" s="212"/>
      <c r="AP20" s="196"/>
      <c r="AQ20" s="196"/>
      <c r="AR20" s="211"/>
      <c r="AS20" s="212"/>
      <c r="AT20" s="212"/>
      <c r="AU20" s="212"/>
      <c r="AW20" s="215"/>
      <c r="AX20" s="113" t="s">
        <v>74</v>
      </c>
      <c r="AY20" s="225"/>
      <c r="AZ20" s="227"/>
    </row>
    <row r="21" spans="1:52" s="185" customFormat="1" ht="15" customHeight="1" thickBot="1" x14ac:dyDescent="0.3">
      <c r="A21" s="200"/>
      <c r="B21" s="211"/>
      <c r="C21" s="212">
        <f t="shared" si="2"/>
        <v>0.99999999999999989</v>
      </c>
      <c r="D21" s="212">
        <f>15</f>
        <v>15</v>
      </c>
      <c r="E21" s="212">
        <f t="shared" si="3"/>
        <v>40.794124671602574</v>
      </c>
      <c r="F21" s="212">
        <f t="shared" si="4"/>
        <v>0.5</v>
      </c>
      <c r="G21" s="212">
        <f>5</f>
        <v>5</v>
      </c>
      <c r="H21" s="212">
        <f>60</f>
        <v>60</v>
      </c>
      <c r="I21" s="212">
        <f t="shared" si="5"/>
        <v>0.9</v>
      </c>
      <c r="J21" s="212">
        <f>1</f>
        <v>1</v>
      </c>
      <c r="K21" s="212">
        <f t="shared" si="6"/>
        <v>4.1870000000000003</v>
      </c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196"/>
      <c r="AD21" s="27"/>
      <c r="AE21" s="213"/>
      <c r="AF21" s="212">
        <f t="shared" si="7"/>
        <v>0</v>
      </c>
      <c r="AG21" s="212"/>
      <c r="AH21" s="212"/>
      <c r="AI21" s="212"/>
      <c r="AJ21" s="212"/>
      <c r="AK21" s="212"/>
      <c r="AL21" s="212"/>
      <c r="AM21" s="212"/>
      <c r="AN21" s="212"/>
      <c r="AO21" s="212"/>
      <c r="AP21" s="196"/>
      <c r="AQ21" s="196"/>
      <c r="AR21" s="211"/>
      <c r="AS21" s="212"/>
      <c r="AT21" s="212"/>
      <c r="AU21" s="212"/>
      <c r="AW21" s="215"/>
      <c r="AX21" s="51" t="s">
        <v>75</v>
      </c>
      <c r="AY21" s="228"/>
      <c r="AZ21" s="222"/>
    </row>
    <row r="22" spans="1:52" s="185" customFormat="1" ht="15" customHeight="1" thickBot="1" x14ac:dyDescent="0.3">
      <c r="A22" s="200"/>
      <c r="B22" s="211"/>
      <c r="C22" s="212">
        <f t="shared" si="2"/>
        <v>1.0999999999999999</v>
      </c>
      <c r="D22" s="212">
        <f>15</f>
        <v>15</v>
      </c>
      <c r="E22" s="212">
        <f t="shared" si="3"/>
        <v>40.794124671602574</v>
      </c>
      <c r="F22" s="212">
        <f t="shared" si="4"/>
        <v>0.5</v>
      </c>
      <c r="G22" s="212">
        <f>5</f>
        <v>5</v>
      </c>
      <c r="H22" s="212">
        <f>60</f>
        <v>60</v>
      </c>
      <c r="I22" s="212">
        <f t="shared" si="5"/>
        <v>0.9</v>
      </c>
      <c r="J22" s="212">
        <f>1</f>
        <v>1</v>
      </c>
      <c r="K22" s="212">
        <f t="shared" si="6"/>
        <v>4.1870000000000003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196"/>
      <c r="AD22" s="27"/>
      <c r="AE22" s="213"/>
      <c r="AF22" s="212">
        <f t="shared" si="7"/>
        <v>0</v>
      </c>
      <c r="AG22" s="212"/>
      <c r="AH22" s="212"/>
      <c r="AI22" s="212"/>
      <c r="AJ22" s="212"/>
      <c r="AK22" s="212"/>
      <c r="AL22" s="212"/>
      <c r="AM22" s="212"/>
      <c r="AN22" s="212"/>
      <c r="AO22" s="212"/>
      <c r="AP22" s="196"/>
      <c r="AQ22" s="196"/>
      <c r="AR22" s="211"/>
      <c r="AS22" s="212"/>
      <c r="AT22" s="212"/>
      <c r="AU22" s="212"/>
      <c r="AW22" s="116" t="s">
        <v>50</v>
      </c>
      <c r="AX22" s="215"/>
      <c r="AY22" s="215"/>
      <c r="AZ22" s="229"/>
    </row>
    <row r="23" spans="1:52" s="185" customFormat="1" ht="15" customHeight="1" x14ac:dyDescent="0.25">
      <c r="A23" s="200"/>
      <c r="B23" s="211"/>
      <c r="C23" s="212">
        <f t="shared" si="2"/>
        <v>1.2</v>
      </c>
      <c r="D23" s="212">
        <f>15</f>
        <v>15</v>
      </c>
      <c r="E23" s="212">
        <f t="shared" si="3"/>
        <v>40.794124671602574</v>
      </c>
      <c r="F23" s="212">
        <f t="shared" si="4"/>
        <v>0.5</v>
      </c>
      <c r="G23" s="212">
        <f>5</f>
        <v>5</v>
      </c>
      <c r="H23" s="212">
        <f>60</f>
        <v>60</v>
      </c>
      <c r="I23" s="212">
        <f t="shared" si="5"/>
        <v>0.9</v>
      </c>
      <c r="J23" s="212">
        <f>1</f>
        <v>1</v>
      </c>
      <c r="K23" s="212">
        <f t="shared" si="6"/>
        <v>4.1870000000000003</v>
      </c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196"/>
      <c r="AD23" s="27"/>
      <c r="AE23" s="213"/>
      <c r="AF23" s="212">
        <f t="shared" si="7"/>
        <v>0</v>
      </c>
      <c r="AG23" s="212"/>
      <c r="AH23" s="212"/>
      <c r="AI23" s="212"/>
      <c r="AJ23" s="212"/>
      <c r="AK23" s="212"/>
      <c r="AL23" s="212"/>
      <c r="AM23" s="212"/>
      <c r="AN23" s="212"/>
      <c r="AO23" s="212"/>
      <c r="AP23" s="196"/>
      <c r="AQ23" s="196"/>
      <c r="AR23" s="211"/>
      <c r="AS23" s="212"/>
      <c r="AT23" s="212"/>
      <c r="AU23" s="212"/>
      <c r="AW23" s="215"/>
      <c r="AX23" s="264" t="s">
        <v>71</v>
      </c>
      <c r="AY23" s="219" t="s">
        <v>18</v>
      </c>
      <c r="AZ23" s="220"/>
    </row>
    <row r="24" spans="1:52" s="185" customFormat="1" ht="15" customHeight="1" thickBot="1" x14ac:dyDescent="0.3">
      <c r="A24" s="200"/>
      <c r="B24" s="211"/>
      <c r="C24" s="212">
        <f t="shared" si="2"/>
        <v>1.3</v>
      </c>
      <c r="D24" s="212">
        <f>15</f>
        <v>15</v>
      </c>
      <c r="E24" s="212">
        <f t="shared" si="3"/>
        <v>40.794124671602574</v>
      </c>
      <c r="F24" s="212">
        <f t="shared" si="4"/>
        <v>0.5</v>
      </c>
      <c r="G24" s="212">
        <f>5</f>
        <v>5</v>
      </c>
      <c r="H24" s="212">
        <f>60</f>
        <v>60</v>
      </c>
      <c r="I24" s="212">
        <f t="shared" si="5"/>
        <v>0.9</v>
      </c>
      <c r="J24" s="212">
        <f>1</f>
        <v>1</v>
      </c>
      <c r="K24" s="212">
        <f t="shared" si="6"/>
        <v>4.1870000000000003</v>
      </c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196"/>
      <c r="AD24" s="27"/>
      <c r="AE24" s="213"/>
      <c r="AF24" s="212">
        <f t="shared" si="7"/>
        <v>0</v>
      </c>
      <c r="AG24" s="212"/>
      <c r="AH24" s="212"/>
      <c r="AI24" s="212"/>
      <c r="AJ24" s="212"/>
      <c r="AK24" s="212"/>
      <c r="AL24" s="212"/>
      <c r="AM24" s="212"/>
      <c r="AN24" s="212"/>
      <c r="AO24" s="212"/>
      <c r="AP24" s="196"/>
      <c r="AQ24" s="196"/>
      <c r="AR24" s="211"/>
      <c r="AS24" s="212"/>
      <c r="AT24" s="212"/>
      <c r="AU24" s="212"/>
      <c r="AW24" s="215"/>
      <c r="AX24" s="265"/>
      <c r="AY24" s="221" t="s">
        <v>72</v>
      </c>
      <c r="AZ24" s="222"/>
    </row>
    <row r="25" spans="1:52" s="185" customFormat="1" ht="15" customHeight="1" x14ac:dyDescent="0.25">
      <c r="A25" s="200"/>
      <c r="B25" s="211"/>
      <c r="C25" s="212">
        <f t="shared" si="2"/>
        <v>1.4000000000000001</v>
      </c>
      <c r="D25" s="212">
        <f>15</f>
        <v>15</v>
      </c>
      <c r="E25" s="212">
        <f t="shared" si="3"/>
        <v>40.794124671602574</v>
      </c>
      <c r="F25" s="212">
        <f t="shared" si="4"/>
        <v>0.5</v>
      </c>
      <c r="G25" s="212">
        <f>5</f>
        <v>5</v>
      </c>
      <c r="H25" s="212">
        <f>60</f>
        <v>60</v>
      </c>
      <c r="I25" s="212">
        <f t="shared" si="5"/>
        <v>0.9</v>
      </c>
      <c r="J25" s="212">
        <f>1</f>
        <v>1</v>
      </c>
      <c r="K25" s="212">
        <f t="shared" si="6"/>
        <v>4.1870000000000003</v>
      </c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196"/>
      <c r="AD25" s="27"/>
      <c r="AE25" s="213"/>
      <c r="AF25" s="212">
        <f t="shared" si="7"/>
        <v>0</v>
      </c>
      <c r="AG25" s="212"/>
      <c r="AH25" s="212"/>
      <c r="AI25" s="212"/>
      <c r="AJ25" s="212"/>
      <c r="AK25" s="212"/>
      <c r="AL25" s="212"/>
      <c r="AM25" s="212"/>
      <c r="AN25" s="212"/>
      <c r="AO25" s="212"/>
      <c r="AP25" s="196"/>
      <c r="AQ25" s="196"/>
      <c r="AR25" s="211"/>
      <c r="AS25" s="212"/>
      <c r="AT25" s="212"/>
      <c r="AU25" s="212"/>
      <c r="AW25" s="58"/>
      <c r="AX25" s="58"/>
      <c r="AY25" s="58"/>
      <c r="AZ25" s="58"/>
    </row>
    <row r="26" spans="1:52" s="185" customFormat="1" ht="15" customHeight="1" x14ac:dyDescent="0.25">
      <c r="A26" s="200"/>
      <c r="B26" s="211"/>
      <c r="C26" s="212">
        <f t="shared" si="2"/>
        <v>1.5000000000000002</v>
      </c>
      <c r="D26" s="212">
        <f>15</f>
        <v>15</v>
      </c>
      <c r="E26" s="212">
        <f t="shared" si="3"/>
        <v>40.794124671602574</v>
      </c>
      <c r="F26" s="212">
        <f t="shared" si="4"/>
        <v>0.5</v>
      </c>
      <c r="G26" s="212">
        <f>5</f>
        <v>5</v>
      </c>
      <c r="H26" s="212">
        <f>60</f>
        <v>60</v>
      </c>
      <c r="I26" s="212">
        <f t="shared" si="5"/>
        <v>0.9</v>
      </c>
      <c r="J26" s="212">
        <f>1</f>
        <v>1</v>
      </c>
      <c r="K26" s="212">
        <f t="shared" si="6"/>
        <v>4.1870000000000003</v>
      </c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196"/>
      <c r="AD26" s="27"/>
      <c r="AE26" s="213"/>
      <c r="AF26" s="212">
        <f t="shared" si="7"/>
        <v>0</v>
      </c>
      <c r="AG26" s="212"/>
      <c r="AH26" s="212"/>
      <c r="AI26" s="212"/>
      <c r="AJ26" s="212"/>
      <c r="AK26" s="212"/>
      <c r="AL26" s="212"/>
      <c r="AM26" s="212"/>
      <c r="AN26" s="212"/>
      <c r="AO26" s="212"/>
      <c r="AP26" s="196"/>
      <c r="AQ26" s="196"/>
      <c r="AR26" s="211"/>
      <c r="AS26" s="212"/>
      <c r="AT26" s="212"/>
      <c r="AU26" s="212"/>
      <c r="AW26" s="58"/>
      <c r="AX26" s="58"/>
      <c r="AY26" s="58"/>
      <c r="AZ26" s="58"/>
    </row>
    <row r="27" spans="1:52" s="185" customFormat="1" ht="15" customHeight="1" x14ac:dyDescent="0.25">
      <c r="A27" s="200"/>
      <c r="B27" s="211"/>
      <c r="C27" s="212">
        <f t="shared" si="2"/>
        <v>1.6000000000000003</v>
      </c>
      <c r="D27" s="212">
        <f>15</f>
        <v>15</v>
      </c>
      <c r="E27" s="212">
        <f t="shared" si="3"/>
        <v>40.794124671602574</v>
      </c>
      <c r="F27" s="212">
        <f t="shared" si="4"/>
        <v>0.5</v>
      </c>
      <c r="G27" s="212">
        <f>5</f>
        <v>5</v>
      </c>
      <c r="H27" s="212">
        <f>60</f>
        <v>60</v>
      </c>
      <c r="I27" s="212">
        <f t="shared" si="5"/>
        <v>0.9</v>
      </c>
      <c r="J27" s="212">
        <f>1</f>
        <v>1</v>
      </c>
      <c r="K27" s="212">
        <f t="shared" si="6"/>
        <v>4.1870000000000003</v>
      </c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196"/>
      <c r="AD27" s="27"/>
      <c r="AE27" s="213"/>
      <c r="AF27" s="212">
        <f t="shared" si="7"/>
        <v>0</v>
      </c>
      <c r="AG27" s="212"/>
      <c r="AH27" s="212"/>
      <c r="AI27" s="212"/>
      <c r="AJ27" s="212"/>
      <c r="AK27" s="212"/>
      <c r="AL27" s="212"/>
      <c r="AM27" s="212"/>
      <c r="AN27" s="212"/>
      <c r="AO27" s="212"/>
      <c r="AP27" s="196"/>
      <c r="AQ27" s="196"/>
      <c r="AR27" s="211"/>
      <c r="AS27" s="212"/>
      <c r="AT27" s="212"/>
      <c r="AU27" s="212"/>
      <c r="AW27" s="58"/>
      <c r="AX27" s="58"/>
      <c r="AY27" s="58"/>
      <c r="AZ27" s="58"/>
    </row>
    <row r="28" spans="1:52" s="185" customFormat="1" ht="15" customHeight="1" x14ac:dyDescent="0.25">
      <c r="A28" s="200"/>
      <c r="B28" s="211"/>
      <c r="C28" s="212">
        <f t="shared" si="2"/>
        <v>1.7000000000000004</v>
      </c>
      <c r="D28" s="212">
        <f>15</f>
        <v>15</v>
      </c>
      <c r="E28" s="212">
        <f t="shared" si="3"/>
        <v>40.794124671602574</v>
      </c>
      <c r="F28" s="212">
        <f t="shared" si="4"/>
        <v>0.5</v>
      </c>
      <c r="G28" s="212">
        <f>5</f>
        <v>5</v>
      </c>
      <c r="H28" s="212">
        <f>60</f>
        <v>60</v>
      </c>
      <c r="I28" s="212">
        <f t="shared" si="5"/>
        <v>0.9</v>
      </c>
      <c r="J28" s="212">
        <f>1</f>
        <v>1</v>
      </c>
      <c r="K28" s="212">
        <f t="shared" si="6"/>
        <v>4.1870000000000003</v>
      </c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196"/>
      <c r="AD28" s="27"/>
      <c r="AE28" s="213"/>
      <c r="AF28" s="212">
        <f t="shared" si="7"/>
        <v>0</v>
      </c>
      <c r="AG28" s="212"/>
      <c r="AH28" s="212"/>
      <c r="AI28" s="212"/>
      <c r="AJ28" s="212"/>
      <c r="AK28" s="212"/>
      <c r="AL28" s="212"/>
      <c r="AM28" s="212"/>
      <c r="AN28" s="212"/>
      <c r="AO28" s="212"/>
      <c r="AP28" s="196"/>
      <c r="AQ28" s="196"/>
      <c r="AR28" s="211"/>
      <c r="AS28" s="212"/>
      <c r="AT28" s="212"/>
      <c r="AU28" s="212"/>
      <c r="AW28" s="58"/>
      <c r="AX28" s="58"/>
      <c r="AY28" s="58"/>
      <c r="AZ28" s="58"/>
    </row>
    <row r="29" spans="1:52" s="185" customFormat="1" ht="15" customHeight="1" x14ac:dyDescent="0.25">
      <c r="A29" s="200"/>
      <c r="B29" s="211"/>
      <c r="C29" s="212">
        <f t="shared" si="2"/>
        <v>1.8000000000000005</v>
      </c>
      <c r="D29" s="212">
        <f>15</f>
        <v>15</v>
      </c>
      <c r="E29" s="212">
        <f t="shared" si="3"/>
        <v>40.794124671602574</v>
      </c>
      <c r="F29" s="212">
        <f t="shared" si="4"/>
        <v>0.5</v>
      </c>
      <c r="G29" s="212">
        <f>5</f>
        <v>5</v>
      </c>
      <c r="H29" s="212">
        <f>60</f>
        <v>60</v>
      </c>
      <c r="I29" s="212">
        <f t="shared" si="5"/>
        <v>0.9</v>
      </c>
      <c r="J29" s="212">
        <f>1</f>
        <v>1</v>
      </c>
      <c r="K29" s="212">
        <f t="shared" si="6"/>
        <v>4.1870000000000003</v>
      </c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196"/>
      <c r="AD29" s="27"/>
      <c r="AE29" s="213"/>
      <c r="AF29" s="212">
        <f t="shared" si="7"/>
        <v>0</v>
      </c>
      <c r="AG29" s="212"/>
      <c r="AH29" s="212"/>
      <c r="AI29" s="212"/>
      <c r="AJ29" s="212"/>
      <c r="AK29" s="212"/>
      <c r="AL29" s="212"/>
      <c r="AM29" s="212"/>
      <c r="AN29" s="212"/>
      <c r="AO29" s="212"/>
      <c r="AP29" s="196"/>
      <c r="AQ29" s="196"/>
      <c r="AR29" s="211"/>
      <c r="AS29" s="212"/>
      <c r="AT29" s="212"/>
      <c r="AU29" s="212"/>
      <c r="AW29" s="58"/>
      <c r="AX29" s="58"/>
      <c r="AY29" s="58"/>
      <c r="AZ29" s="58"/>
    </row>
    <row r="30" spans="1:52" s="185" customFormat="1" ht="15" customHeight="1" x14ac:dyDescent="0.25">
      <c r="A30" s="200"/>
      <c r="B30" s="211"/>
      <c r="C30" s="212">
        <f t="shared" si="2"/>
        <v>1.9000000000000006</v>
      </c>
      <c r="D30" s="212">
        <f>15</f>
        <v>15</v>
      </c>
      <c r="E30" s="212">
        <f t="shared" si="3"/>
        <v>40.794124671602574</v>
      </c>
      <c r="F30" s="212">
        <f t="shared" si="4"/>
        <v>0.5</v>
      </c>
      <c r="G30" s="212">
        <f>5</f>
        <v>5</v>
      </c>
      <c r="H30" s="212">
        <f>60</f>
        <v>60</v>
      </c>
      <c r="I30" s="212">
        <f t="shared" si="5"/>
        <v>0.9</v>
      </c>
      <c r="J30" s="212">
        <f>1</f>
        <v>1</v>
      </c>
      <c r="K30" s="212">
        <f t="shared" si="6"/>
        <v>4.1870000000000003</v>
      </c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196"/>
      <c r="AD30" s="27"/>
      <c r="AE30" s="213"/>
      <c r="AF30" s="212">
        <f t="shared" si="7"/>
        <v>0</v>
      </c>
      <c r="AG30" s="212"/>
      <c r="AH30" s="212"/>
      <c r="AI30" s="212"/>
      <c r="AJ30" s="212"/>
      <c r="AK30" s="212"/>
      <c r="AL30" s="212"/>
      <c r="AM30" s="212"/>
      <c r="AN30" s="212"/>
      <c r="AO30" s="212"/>
      <c r="AP30" s="196"/>
      <c r="AQ30" s="196"/>
      <c r="AR30" s="211"/>
      <c r="AS30" s="212"/>
      <c r="AT30" s="212"/>
      <c r="AU30" s="212"/>
      <c r="AW30" s="58"/>
      <c r="AX30" s="58"/>
      <c r="AY30" s="58"/>
      <c r="AZ30" s="58"/>
    </row>
    <row r="31" spans="1:52" s="185" customFormat="1" ht="15" customHeight="1" x14ac:dyDescent="0.25">
      <c r="A31" s="200"/>
      <c r="B31" s="211"/>
      <c r="C31" s="212">
        <f t="shared" si="2"/>
        <v>2.0000000000000004</v>
      </c>
      <c r="D31" s="212">
        <f>15</f>
        <v>15</v>
      </c>
      <c r="E31" s="212">
        <f t="shared" si="3"/>
        <v>40.794124671602574</v>
      </c>
      <c r="F31" s="212">
        <f t="shared" si="4"/>
        <v>0.5</v>
      </c>
      <c r="G31" s="212">
        <f>5</f>
        <v>5</v>
      </c>
      <c r="H31" s="212">
        <f>60</f>
        <v>60</v>
      </c>
      <c r="I31" s="212">
        <f t="shared" si="5"/>
        <v>0.9</v>
      </c>
      <c r="J31" s="212">
        <f>1</f>
        <v>1</v>
      </c>
      <c r="K31" s="212">
        <f t="shared" si="6"/>
        <v>4.1870000000000003</v>
      </c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196"/>
      <c r="AD31" s="27"/>
      <c r="AE31" s="213"/>
      <c r="AF31" s="212">
        <f t="shared" si="7"/>
        <v>0</v>
      </c>
      <c r="AG31" s="212"/>
      <c r="AH31" s="212"/>
      <c r="AI31" s="212"/>
      <c r="AJ31" s="212"/>
      <c r="AK31" s="212"/>
      <c r="AL31" s="212"/>
      <c r="AM31" s="212"/>
      <c r="AN31" s="212"/>
      <c r="AO31" s="212"/>
      <c r="AP31" s="196"/>
      <c r="AQ31" s="196"/>
      <c r="AR31" s="211"/>
      <c r="AS31" s="212"/>
      <c r="AT31" s="212"/>
      <c r="AU31" s="212"/>
      <c r="AW31" s="58"/>
      <c r="AX31" s="58"/>
      <c r="AY31" s="58"/>
      <c r="AZ31" s="58"/>
    </row>
    <row r="32" spans="1:52" s="185" customFormat="1" ht="15" customHeight="1" x14ac:dyDescent="0.25">
      <c r="A32" s="200"/>
      <c r="B32" s="211"/>
      <c r="C32" s="212">
        <f t="shared" si="2"/>
        <v>2.1000000000000005</v>
      </c>
      <c r="D32" s="212">
        <f>15</f>
        <v>15</v>
      </c>
      <c r="E32" s="212">
        <f t="shared" si="3"/>
        <v>40.794124671602574</v>
      </c>
      <c r="F32" s="212">
        <f t="shared" si="4"/>
        <v>0.5</v>
      </c>
      <c r="G32" s="212">
        <f>5</f>
        <v>5</v>
      </c>
      <c r="H32" s="212">
        <f>60</f>
        <v>60</v>
      </c>
      <c r="I32" s="212">
        <f t="shared" si="5"/>
        <v>0.9</v>
      </c>
      <c r="J32" s="212">
        <f>1</f>
        <v>1</v>
      </c>
      <c r="K32" s="212">
        <f t="shared" si="6"/>
        <v>4.1870000000000003</v>
      </c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196"/>
      <c r="AD32" s="27"/>
      <c r="AE32" s="213"/>
      <c r="AF32" s="212">
        <f t="shared" si="7"/>
        <v>0</v>
      </c>
      <c r="AG32" s="212"/>
      <c r="AH32" s="212"/>
      <c r="AI32" s="212"/>
      <c r="AJ32" s="212"/>
      <c r="AK32" s="212"/>
      <c r="AL32" s="212"/>
      <c r="AM32" s="212"/>
      <c r="AN32" s="212"/>
      <c r="AO32" s="212"/>
      <c r="AP32" s="196"/>
      <c r="AQ32" s="196"/>
      <c r="AR32" s="211"/>
      <c r="AS32" s="212"/>
      <c r="AT32" s="212"/>
      <c r="AU32" s="212"/>
      <c r="AW32" s="58"/>
      <c r="AX32" s="58"/>
      <c r="AY32" s="58"/>
      <c r="AZ32" s="58"/>
    </row>
    <row r="33" spans="1:52" s="185" customFormat="1" ht="15" customHeight="1" x14ac:dyDescent="0.25">
      <c r="A33" s="200"/>
      <c r="B33" s="211"/>
      <c r="C33" s="212">
        <f t="shared" si="2"/>
        <v>2.2000000000000006</v>
      </c>
      <c r="D33" s="212">
        <f>15</f>
        <v>15</v>
      </c>
      <c r="E33" s="212">
        <f t="shared" si="3"/>
        <v>40.794124671602574</v>
      </c>
      <c r="F33" s="212">
        <f t="shared" si="4"/>
        <v>0.5</v>
      </c>
      <c r="G33" s="212">
        <f>5</f>
        <v>5</v>
      </c>
      <c r="H33" s="212">
        <f>60</f>
        <v>60</v>
      </c>
      <c r="I33" s="212">
        <f t="shared" si="5"/>
        <v>0.9</v>
      </c>
      <c r="J33" s="212">
        <f>1</f>
        <v>1</v>
      </c>
      <c r="K33" s="212">
        <f t="shared" si="6"/>
        <v>4.1870000000000003</v>
      </c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196"/>
      <c r="AD33" s="27"/>
      <c r="AE33" s="213"/>
      <c r="AF33" s="212">
        <f t="shared" si="7"/>
        <v>0</v>
      </c>
      <c r="AG33" s="212"/>
      <c r="AH33" s="212"/>
      <c r="AI33" s="212"/>
      <c r="AJ33" s="212"/>
      <c r="AK33" s="212"/>
      <c r="AL33" s="212"/>
      <c r="AM33" s="212"/>
      <c r="AN33" s="212"/>
      <c r="AO33" s="212"/>
      <c r="AP33" s="196"/>
      <c r="AQ33" s="196"/>
      <c r="AR33" s="211"/>
      <c r="AS33" s="212"/>
      <c r="AT33" s="212"/>
      <c r="AU33" s="212"/>
      <c r="AW33" s="58"/>
      <c r="AX33" s="58"/>
      <c r="AY33" s="58"/>
      <c r="AZ33" s="58"/>
    </row>
    <row r="34" spans="1:52" s="185" customFormat="1" ht="15" customHeight="1" x14ac:dyDescent="0.25">
      <c r="A34" s="200"/>
      <c r="B34" s="211"/>
      <c r="C34" s="212">
        <f t="shared" si="2"/>
        <v>2.3000000000000007</v>
      </c>
      <c r="D34" s="212">
        <f>15</f>
        <v>15</v>
      </c>
      <c r="E34" s="212">
        <f t="shared" si="3"/>
        <v>40.794124671602574</v>
      </c>
      <c r="F34" s="212">
        <f t="shared" si="4"/>
        <v>0.5</v>
      </c>
      <c r="G34" s="212">
        <f>5</f>
        <v>5</v>
      </c>
      <c r="H34" s="212">
        <f>60</f>
        <v>60</v>
      </c>
      <c r="I34" s="212">
        <f t="shared" si="5"/>
        <v>0.9</v>
      </c>
      <c r="J34" s="212">
        <f>1</f>
        <v>1</v>
      </c>
      <c r="K34" s="212">
        <f t="shared" si="6"/>
        <v>4.1870000000000003</v>
      </c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196"/>
      <c r="AD34" s="27"/>
      <c r="AE34" s="213"/>
      <c r="AF34" s="212">
        <f t="shared" si="7"/>
        <v>0</v>
      </c>
      <c r="AG34" s="212"/>
      <c r="AH34" s="212"/>
      <c r="AI34" s="212"/>
      <c r="AJ34" s="212"/>
      <c r="AK34" s="212"/>
      <c r="AL34" s="212"/>
      <c r="AM34" s="212"/>
      <c r="AN34" s="212"/>
      <c r="AO34" s="212"/>
      <c r="AP34" s="196"/>
      <c r="AQ34" s="196"/>
      <c r="AR34" s="211"/>
      <c r="AS34" s="212"/>
      <c r="AT34" s="212"/>
      <c r="AU34" s="212"/>
      <c r="AW34" s="58"/>
      <c r="AX34" s="58"/>
      <c r="AY34" s="58"/>
      <c r="AZ34" s="58"/>
    </row>
    <row r="35" spans="1:52" s="185" customFormat="1" ht="15" customHeight="1" x14ac:dyDescent="0.25">
      <c r="A35" s="200"/>
      <c r="B35" s="211"/>
      <c r="C35" s="212">
        <f t="shared" si="2"/>
        <v>2.4000000000000008</v>
      </c>
      <c r="D35" s="212">
        <f>15</f>
        <v>15</v>
      </c>
      <c r="E35" s="212">
        <f t="shared" si="3"/>
        <v>40.794124671602574</v>
      </c>
      <c r="F35" s="212">
        <f t="shared" si="4"/>
        <v>0.5</v>
      </c>
      <c r="G35" s="212">
        <f>5</f>
        <v>5</v>
      </c>
      <c r="H35" s="212">
        <f>60</f>
        <v>60</v>
      </c>
      <c r="I35" s="212">
        <f t="shared" si="5"/>
        <v>0.9</v>
      </c>
      <c r="J35" s="212">
        <f>1</f>
        <v>1</v>
      </c>
      <c r="K35" s="212">
        <f t="shared" si="6"/>
        <v>4.1870000000000003</v>
      </c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196"/>
      <c r="AD35" s="27"/>
      <c r="AE35" s="213"/>
      <c r="AF35" s="212">
        <f t="shared" si="7"/>
        <v>0</v>
      </c>
      <c r="AG35" s="212"/>
      <c r="AH35" s="212"/>
      <c r="AI35" s="212"/>
      <c r="AJ35" s="212"/>
      <c r="AK35" s="212"/>
      <c r="AL35" s="212"/>
      <c r="AM35" s="212"/>
      <c r="AN35" s="212"/>
      <c r="AO35" s="212"/>
      <c r="AP35" s="196"/>
      <c r="AQ35" s="196"/>
      <c r="AR35" s="211"/>
      <c r="AS35" s="212"/>
      <c r="AT35" s="212"/>
      <c r="AU35" s="212"/>
      <c r="AW35" s="58"/>
      <c r="AX35" s="58"/>
      <c r="AY35" s="58"/>
      <c r="AZ35" s="58"/>
    </row>
    <row r="36" spans="1:52" s="185" customFormat="1" ht="15" customHeight="1" x14ac:dyDescent="0.25">
      <c r="A36" s="200"/>
      <c r="B36" s="211"/>
      <c r="C36" s="212">
        <f t="shared" si="2"/>
        <v>2.5000000000000009</v>
      </c>
      <c r="D36" s="212">
        <f>15</f>
        <v>15</v>
      </c>
      <c r="E36" s="212">
        <f t="shared" si="3"/>
        <v>40.794124671602574</v>
      </c>
      <c r="F36" s="212">
        <f t="shared" si="4"/>
        <v>0.5</v>
      </c>
      <c r="G36" s="212">
        <f>5</f>
        <v>5</v>
      </c>
      <c r="H36" s="212">
        <f>60</f>
        <v>60</v>
      </c>
      <c r="I36" s="212">
        <f t="shared" si="5"/>
        <v>0.9</v>
      </c>
      <c r="J36" s="212">
        <f>1</f>
        <v>1</v>
      </c>
      <c r="K36" s="212">
        <f t="shared" si="6"/>
        <v>4.1870000000000003</v>
      </c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196"/>
      <c r="AD36" s="27"/>
      <c r="AE36" s="213"/>
      <c r="AF36" s="212">
        <f t="shared" si="7"/>
        <v>0</v>
      </c>
      <c r="AG36" s="212"/>
      <c r="AH36" s="212"/>
      <c r="AI36" s="212"/>
      <c r="AJ36" s="212"/>
      <c r="AK36" s="212"/>
      <c r="AL36" s="212"/>
      <c r="AM36" s="212"/>
      <c r="AN36" s="212"/>
      <c r="AO36" s="212"/>
      <c r="AP36" s="196"/>
      <c r="AQ36" s="196"/>
      <c r="AR36" s="211"/>
      <c r="AS36" s="212"/>
      <c r="AT36" s="212"/>
      <c r="AU36" s="212"/>
      <c r="AW36" s="58"/>
      <c r="AX36" s="58"/>
      <c r="AY36" s="58"/>
      <c r="AZ36" s="58"/>
    </row>
    <row r="37" spans="1:52" s="185" customFormat="1" ht="15" customHeight="1" x14ac:dyDescent="0.25">
      <c r="A37" s="200"/>
      <c r="B37" s="211"/>
      <c r="C37" s="212">
        <f t="shared" si="2"/>
        <v>2.600000000000001</v>
      </c>
      <c r="D37" s="212">
        <f>15</f>
        <v>15</v>
      </c>
      <c r="E37" s="212">
        <f t="shared" si="3"/>
        <v>40.794124671602574</v>
      </c>
      <c r="F37" s="212">
        <f t="shared" si="4"/>
        <v>0.5</v>
      </c>
      <c r="G37" s="212">
        <f>5</f>
        <v>5</v>
      </c>
      <c r="H37" s="212">
        <f>60</f>
        <v>60</v>
      </c>
      <c r="I37" s="212">
        <f t="shared" si="5"/>
        <v>0.9</v>
      </c>
      <c r="J37" s="212">
        <f>1</f>
        <v>1</v>
      </c>
      <c r="K37" s="212">
        <f t="shared" si="6"/>
        <v>4.1870000000000003</v>
      </c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196"/>
      <c r="AD37" s="27"/>
      <c r="AE37" s="213"/>
      <c r="AF37" s="212">
        <f t="shared" si="7"/>
        <v>0</v>
      </c>
      <c r="AG37" s="212"/>
      <c r="AH37" s="212"/>
      <c r="AI37" s="212"/>
      <c r="AJ37" s="212"/>
      <c r="AK37" s="212"/>
      <c r="AL37" s="212"/>
      <c r="AM37" s="212"/>
      <c r="AN37" s="212"/>
      <c r="AO37" s="212"/>
      <c r="AP37" s="196"/>
      <c r="AQ37" s="196"/>
      <c r="AR37" s="211"/>
      <c r="AS37" s="212"/>
      <c r="AT37" s="212"/>
      <c r="AU37" s="212"/>
      <c r="AW37" s="58"/>
      <c r="AX37" s="58"/>
      <c r="AY37" s="58"/>
      <c r="AZ37" s="58"/>
    </row>
    <row r="38" spans="1:52" s="185" customFormat="1" ht="15" customHeight="1" x14ac:dyDescent="0.25">
      <c r="A38" s="200"/>
      <c r="B38" s="211"/>
      <c r="C38" s="212">
        <f t="shared" si="2"/>
        <v>2.7000000000000011</v>
      </c>
      <c r="D38" s="212">
        <f>15</f>
        <v>15</v>
      </c>
      <c r="E38" s="212">
        <f t="shared" si="3"/>
        <v>40.794124671602574</v>
      </c>
      <c r="F38" s="212">
        <f t="shared" si="4"/>
        <v>0.5</v>
      </c>
      <c r="G38" s="212">
        <f>5</f>
        <v>5</v>
      </c>
      <c r="H38" s="212">
        <f>60</f>
        <v>60</v>
      </c>
      <c r="I38" s="212">
        <f t="shared" si="5"/>
        <v>0.9</v>
      </c>
      <c r="J38" s="212">
        <f>1</f>
        <v>1</v>
      </c>
      <c r="K38" s="212">
        <f t="shared" si="6"/>
        <v>4.1870000000000003</v>
      </c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196"/>
      <c r="AD38" s="27"/>
      <c r="AE38" s="213"/>
      <c r="AF38" s="212">
        <f t="shared" si="7"/>
        <v>0</v>
      </c>
      <c r="AG38" s="212"/>
      <c r="AH38" s="212"/>
      <c r="AI38" s="212"/>
      <c r="AJ38" s="212"/>
      <c r="AK38" s="212"/>
      <c r="AL38" s="212"/>
      <c r="AM38" s="212"/>
      <c r="AN38" s="212"/>
      <c r="AO38" s="212"/>
      <c r="AP38" s="196"/>
      <c r="AQ38" s="196"/>
      <c r="AR38" s="211"/>
      <c r="AS38" s="212"/>
      <c r="AT38" s="212"/>
      <c r="AU38" s="212"/>
      <c r="AW38" s="58"/>
      <c r="AX38" s="58"/>
      <c r="AY38" s="58"/>
      <c r="AZ38" s="58"/>
    </row>
    <row r="39" spans="1:52" s="185" customFormat="1" ht="15" customHeight="1" x14ac:dyDescent="0.25">
      <c r="A39" s="200"/>
      <c r="B39" s="211"/>
      <c r="C39" s="212">
        <f t="shared" si="2"/>
        <v>2.8000000000000012</v>
      </c>
      <c r="D39" s="212">
        <f>15</f>
        <v>15</v>
      </c>
      <c r="E39" s="212">
        <f t="shared" si="3"/>
        <v>40.794124671602574</v>
      </c>
      <c r="F39" s="212">
        <f t="shared" si="4"/>
        <v>0.5</v>
      </c>
      <c r="G39" s="212">
        <f>5</f>
        <v>5</v>
      </c>
      <c r="H39" s="212">
        <f>60</f>
        <v>60</v>
      </c>
      <c r="I39" s="212">
        <f t="shared" si="5"/>
        <v>0.9</v>
      </c>
      <c r="J39" s="212">
        <f>1</f>
        <v>1</v>
      </c>
      <c r="K39" s="212">
        <f t="shared" si="6"/>
        <v>4.1870000000000003</v>
      </c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196"/>
      <c r="AD39" s="27"/>
      <c r="AE39" s="213"/>
      <c r="AF39" s="212">
        <f t="shared" si="7"/>
        <v>0</v>
      </c>
      <c r="AG39" s="212"/>
      <c r="AH39" s="212"/>
      <c r="AI39" s="212"/>
      <c r="AJ39" s="212"/>
      <c r="AK39" s="212"/>
      <c r="AL39" s="212"/>
      <c r="AM39" s="212"/>
      <c r="AN39" s="212"/>
      <c r="AO39" s="212"/>
      <c r="AP39" s="196"/>
      <c r="AQ39" s="196"/>
      <c r="AR39" s="211"/>
      <c r="AS39" s="212"/>
      <c r="AT39" s="212"/>
      <c r="AU39" s="212"/>
      <c r="AW39" s="58"/>
      <c r="AX39" s="58"/>
      <c r="AY39" s="58"/>
      <c r="AZ39" s="58"/>
    </row>
    <row r="40" spans="1:52" s="185" customFormat="1" ht="15" customHeight="1" x14ac:dyDescent="0.25">
      <c r="A40" s="200"/>
      <c r="B40" s="211"/>
      <c r="C40" s="212">
        <f t="shared" si="2"/>
        <v>2.9000000000000012</v>
      </c>
      <c r="D40" s="212">
        <f>15</f>
        <v>15</v>
      </c>
      <c r="E40" s="212">
        <f t="shared" si="3"/>
        <v>40.794124671602574</v>
      </c>
      <c r="F40" s="212">
        <f t="shared" si="4"/>
        <v>0.5</v>
      </c>
      <c r="G40" s="212">
        <f>5</f>
        <v>5</v>
      </c>
      <c r="H40" s="212">
        <f>60</f>
        <v>60</v>
      </c>
      <c r="I40" s="212">
        <f t="shared" si="5"/>
        <v>0.9</v>
      </c>
      <c r="J40" s="212">
        <f>1</f>
        <v>1</v>
      </c>
      <c r="K40" s="212">
        <f t="shared" si="6"/>
        <v>4.1870000000000003</v>
      </c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196"/>
      <c r="AD40" s="27"/>
      <c r="AE40" s="213"/>
      <c r="AF40" s="212">
        <f t="shared" si="7"/>
        <v>0</v>
      </c>
      <c r="AG40" s="212"/>
      <c r="AH40" s="212"/>
      <c r="AI40" s="212"/>
      <c r="AJ40" s="212"/>
      <c r="AK40" s="212"/>
      <c r="AL40" s="212"/>
      <c r="AM40" s="212"/>
      <c r="AN40" s="212"/>
      <c r="AO40" s="212"/>
      <c r="AP40" s="196"/>
      <c r="AQ40" s="196"/>
      <c r="AR40" s="211"/>
      <c r="AS40" s="212"/>
      <c r="AT40" s="212"/>
      <c r="AU40" s="212"/>
      <c r="AW40" s="58"/>
      <c r="AX40" s="58"/>
      <c r="AY40" s="58"/>
      <c r="AZ40" s="58"/>
    </row>
    <row r="41" spans="1:52" s="185" customFormat="1" ht="15" customHeight="1" x14ac:dyDescent="0.25">
      <c r="A41" s="200"/>
      <c r="B41" s="211"/>
      <c r="C41" s="212">
        <f t="shared" si="2"/>
        <v>3.0000000000000013</v>
      </c>
      <c r="D41" s="212">
        <f>15</f>
        <v>15</v>
      </c>
      <c r="E41" s="212">
        <f t="shared" si="3"/>
        <v>40.794124671602574</v>
      </c>
      <c r="F41" s="212">
        <f t="shared" si="4"/>
        <v>0.5</v>
      </c>
      <c r="G41" s="212">
        <f>5</f>
        <v>5</v>
      </c>
      <c r="H41" s="212">
        <f>60</f>
        <v>60</v>
      </c>
      <c r="I41" s="212">
        <f t="shared" si="5"/>
        <v>0.9</v>
      </c>
      <c r="J41" s="212">
        <f>1</f>
        <v>1</v>
      </c>
      <c r="K41" s="212">
        <f t="shared" si="6"/>
        <v>4.1870000000000003</v>
      </c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196"/>
      <c r="AD41" s="27"/>
      <c r="AE41" s="213"/>
      <c r="AF41" s="212">
        <f t="shared" si="7"/>
        <v>0</v>
      </c>
      <c r="AG41" s="212"/>
      <c r="AH41" s="212"/>
      <c r="AI41" s="212"/>
      <c r="AJ41" s="212"/>
      <c r="AK41" s="212"/>
      <c r="AL41" s="212"/>
      <c r="AM41" s="212"/>
      <c r="AN41" s="212"/>
      <c r="AO41" s="212"/>
      <c r="AP41" s="196"/>
      <c r="AQ41" s="196"/>
      <c r="AR41" s="211"/>
      <c r="AS41" s="212"/>
      <c r="AT41" s="212"/>
      <c r="AU41" s="212"/>
      <c r="AW41" s="58"/>
      <c r="AX41" s="58"/>
      <c r="AY41" s="58"/>
      <c r="AZ41" s="58"/>
    </row>
    <row r="42" spans="1:52" s="185" customFormat="1" ht="15" customHeight="1" x14ac:dyDescent="0.25">
      <c r="A42" s="200"/>
      <c r="B42" s="211"/>
      <c r="C42" s="212">
        <f t="shared" si="2"/>
        <v>3.1000000000000014</v>
      </c>
      <c r="D42" s="212">
        <f>15</f>
        <v>15</v>
      </c>
      <c r="E42" s="212">
        <f t="shared" si="3"/>
        <v>40.794124671602574</v>
      </c>
      <c r="F42" s="212">
        <f t="shared" si="4"/>
        <v>0.5</v>
      </c>
      <c r="G42" s="212">
        <f>5</f>
        <v>5</v>
      </c>
      <c r="H42" s="212">
        <f>60</f>
        <v>60</v>
      </c>
      <c r="I42" s="212">
        <f t="shared" si="5"/>
        <v>0.9</v>
      </c>
      <c r="J42" s="212">
        <f>1</f>
        <v>1</v>
      </c>
      <c r="K42" s="212">
        <f t="shared" si="6"/>
        <v>4.1870000000000003</v>
      </c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196"/>
      <c r="AD42" s="27"/>
      <c r="AE42" s="213"/>
      <c r="AF42" s="212">
        <f t="shared" si="7"/>
        <v>0</v>
      </c>
      <c r="AG42" s="212"/>
      <c r="AH42" s="212"/>
      <c r="AI42" s="212"/>
      <c r="AJ42" s="212"/>
      <c r="AK42" s="212"/>
      <c r="AL42" s="212"/>
      <c r="AM42" s="212"/>
      <c r="AN42" s="212"/>
      <c r="AO42" s="212"/>
      <c r="AP42" s="196"/>
      <c r="AQ42" s="196"/>
      <c r="AR42" s="211"/>
      <c r="AS42" s="212"/>
      <c r="AT42" s="212"/>
      <c r="AU42" s="212"/>
      <c r="AW42" s="58"/>
      <c r="AX42" s="58"/>
      <c r="AY42" s="58"/>
      <c r="AZ42" s="58"/>
    </row>
    <row r="43" spans="1:52" s="185" customFormat="1" ht="15" customHeight="1" x14ac:dyDescent="0.25">
      <c r="A43" s="200"/>
      <c r="B43" s="211"/>
      <c r="C43" s="212">
        <f t="shared" si="2"/>
        <v>3.2000000000000015</v>
      </c>
      <c r="D43" s="212">
        <f>15</f>
        <v>15</v>
      </c>
      <c r="E43" s="212">
        <f t="shared" si="3"/>
        <v>40.794124671602574</v>
      </c>
      <c r="F43" s="212">
        <f t="shared" si="4"/>
        <v>0.5</v>
      </c>
      <c r="G43" s="212">
        <f>5</f>
        <v>5</v>
      </c>
      <c r="H43" s="212">
        <f>60</f>
        <v>60</v>
      </c>
      <c r="I43" s="212">
        <f t="shared" si="5"/>
        <v>0.9</v>
      </c>
      <c r="J43" s="212">
        <f>1</f>
        <v>1</v>
      </c>
      <c r="K43" s="212">
        <f t="shared" si="6"/>
        <v>4.1870000000000003</v>
      </c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196"/>
      <c r="AD43" s="27"/>
      <c r="AE43" s="213"/>
      <c r="AF43" s="212">
        <f t="shared" si="7"/>
        <v>0</v>
      </c>
      <c r="AG43" s="212"/>
      <c r="AH43" s="212"/>
      <c r="AI43" s="212"/>
      <c r="AJ43" s="212"/>
      <c r="AK43" s="212"/>
      <c r="AL43" s="212"/>
      <c r="AM43" s="212"/>
      <c r="AN43" s="212"/>
      <c r="AO43" s="212"/>
      <c r="AP43" s="196"/>
      <c r="AQ43" s="196"/>
      <c r="AR43" s="211"/>
      <c r="AS43" s="212"/>
      <c r="AT43" s="212"/>
      <c r="AU43" s="212"/>
      <c r="AW43" s="58"/>
      <c r="AX43" s="58"/>
      <c r="AY43" s="58"/>
      <c r="AZ43" s="58"/>
    </row>
    <row r="44" spans="1:52" s="185" customFormat="1" ht="15" customHeight="1" x14ac:dyDescent="0.25">
      <c r="A44" s="200"/>
      <c r="B44" s="211"/>
      <c r="C44" s="212">
        <f t="shared" si="2"/>
        <v>3.3000000000000016</v>
      </c>
      <c r="D44" s="212">
        <f>15</f>
        <v>15</v>
      </c>
      <c r="E44" s="212">
        <f t="shared" si="3"/>
        <v>40.794124671602574</v>
      </c>
      <c r="F44" s="212">
        <f t="shared" si="4"/>
        <v>0.5</v>
      </c>
      <c r="G44" s="212">
        <f>5</f>
        <v>5</v>
      </c>
      <c r="H44" s="212">
        <f>60</f>
        <v>60</v>
      </c>
      <c r="I44" s="212">
        <f t="shared" si="5"/>
        <v>0.9</v>
      </c>
      <c r="J44" s="212">
        <f>1</f>
        <v>1</v>
      </c>
      <c r="K44" s="212">
        <f t="shared" si="6"/>
        <v>4.1870000000000003</v>
      </c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196"/>
      <c r="AD44" s="27"/>
      <c r="AE44" s="213"/>
      <c r="AF44" s="212">
        <f t="shared" si="7"/>
        <v>0</v>
      </c>
      <c r="AG44" s="212"/>
      <c r="AH44" s="212"/>
      <c r="AI44" s="212"/>
      <c r="AJ44" s="212"/>
      <c r="AK44" s="212"/>
      <c r="AL44" s="212"/>
      <c r="AM44" s="212"/>
      <c r="AN44" s="212"/>
      <c r="AO44" s="212"/>
      <c r="AP44" s="196"/>
      <c r="AQ44" s="196"/>
      <c r="AR44" s="211"/>
      <c r="AS44" s="212"/>
      <c r="AT44" s="212"/>
      <c r="AU44" s="212"/>
      <c r="AW44" s="58"/>
      <c r="AX44" s="58"/>
      <c r="AY44" s="58"/>
      <c r="AZ44" s="58"/>
    </row>
    <row r="45" spans="1:52" s="185" customFormat="1" ht="15" customHeight="1" x14ac:dyDescent="0.25">
      <c r="A45" s="200"/>
      <c r="B45" s="211"/>
      <c r="C45" s="212">
        <f t="shared" si="2"/>
        <v>3.4000000000000017</v>
      </c>
      <c r="D45" s="212">
        <f>15</f>
        <v>15</v>
      </c>
      <c r="E45" s="212">
        <f t="shared" si="3"/>
        <v>40.794124671602574</v>
      </c>
      <c r="F45" s="212">
        <f t="shared" si="4"/>
        <v>0.5</v>
      </c>
      <c r="G45" s="212">
        <f>5</f>
        <v>5</v>
      </c>
      <c r="H45" s="212">
        <f>60</f>
        <v>60</v>
      </c>
      <c r="I45" s="212">
        <f t="shared" si="5"/>
        <v>0.9</v>
      </c>
      <c r="J45" s="212">
        <f>1</f>
        <v>1</v>
      </c>
      <c r="K45" s="212">
        <f t="shared" si="6"/>
        <v>4.1870000000000003</v>
      </c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196"/>
      <c r="AD45" s="27"/>
      <c r="AE45" s="213"/>
      <c r="AF45" s="212">
        <f t="shared" si="7"/>
        <v>0</v>
      </c>
      <c r="AG45" s="212"/>
      <c r="AH45" s="212"/>
      <c r="AI45" s="212"/>
      <c r="AJ45" s="212"/>
      <c r="AK45" s="212"/>
      <c r="AL45" s="212"/>
      <c r="AM45" s="212"/>
      <c r="AN45" s="212"/>
      <c r="AO45" s="212"/>
      <c r="AP45" s="196"/>
      <c r="AQ45" s="196"/>
      <c r="AR45" s="211"/>
      <c r="AS45" s="212"/>
      <c r="AT45" s="212"/>
      <c r="AU45" s="212"/>
      <c r="AW45" s="58"/>
      <c r="AX45" s="58"/>
      <c r="AY45" s="58"/>
      <c r="AZ45" s="58"/>
    </row>
    <row r="46" spans="1:52" s="185" customFormat="1" ht="15" customHeight="1" x14ac:dyDescent="0.25">
      <c r="A46" s="200"/>
      <c r="B46" s="211"/>
      <c r="C46" s="212">
        <f t="shared" si="2"/>
        <v>3.5000000000000018</v>
      </c>
      <c r="D46" s="212">
        <f>15</f>
        <v>15</v>
      </c>
      <c r="E46" s="212">
        <f t="shared" si="3"/>
        <v>40.794124671602574</v>
      </c>
      <c r="F46" s="212">
        <f t="shared" si="4"/>
        <v>0.5</v>
      </c>
      <c r="G46" s="212">
        <f>5</f>
        <v>5</v>
      </c>
      <c r="H46" s="212">
        <f>60</f>
        <v>60</v>
      </c>
      <c r="I46" s="212">
        <f t="shared" si="5"/>
        <v>0.9</v>
      </c>
      <c r="J46" s="212">
        <f>1</f>
        <v>1</v>
      </c>
      <c r="K46" s="212">
        <f t="shared" si="6"/>
        <v>4.1870000000000003</v>
      </c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196"/>
      <c r="AD46" s="27"/>
      <c r="AE46" s="213"/>
      <c r="AF46" s="212">
        <f t="shared" si="7"/>
        <v>0</v>
      </c>
      <c r="AG46" s="212"/>
      <c r="AH46" s="212"/>
      <c r="AI46" s="212"/>
      <c r="AJ46" s="212"/>
      <c r="AK46" s="212"/>
      <c r="AL46" s="212"/>
      <c r="AM46" s="212"/>
      <c r="AN46" s="212"/>
      <c r="AO46" s="212"/>
      <c r="AP46" s="196"/>
      <c r="AQ46" s="196"/>
      <c r="AR46" s="211"/>
      <c r="AS46" s="212"/>
      <c r="AT46" s="212"/>
      <c r="AU46" s="212"/>
      <c r="AW46" s="58"/>
      <c r="AX46" s="58"/>
      <c r="AY46" s="58"/>
      <c r="AZ46" s="58"/>
    </row>
    <row r="47" spans="1:52" s="185" customFormat="1" ht="15" customHeight="1" x14ac:dyDescent="0.25">
      <c r="A47" s="200"/>
      <c r="B47" s="211"/>
      <c r="C47" s="212">
        <f t="shared" si="2"/>
        <v>3.6000000000000019</v>
      </c>
      <c r="D47" s="212">
        <f>15</f>
        <v>15</v>
      </c>
      <c r="E47" s="212">
        <f t="shared" si="3"/>
        <v>40.794124671602574</v>
      </c>
      <c r="F47" s="212">
        <f t="shared" si="4"/>
        <v>0.5</v>
      </c>
      <c r="G47" s="212">
        <f>5</f>
        <v>5</v>
      </c>
      <c r="H47" s="212">
        <f>60</f>
        <v>60</v>
      </c>
      <c r="I47" s="212">
        <f t="shared" si="5"/>
        <v>0.9</v>
      </c>
      <c r="J47" s="212">
        <f>1</f>
        <v>1</v>
      </c>
      <c r="K47" s="212">
        <f t="shared" si="6"/>
        <v>4.1870000000000003</v>
      </c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  <c r="AB47" s="212"/>
      <c r="AC47" s="196"/>
      <c r="AD47" s="27"/>
      <c r="AE47" s="213"/>
      <c r="AF47" s="212">
        <f t="shared" si="7"/>
        <v>0</v>
      </c>
      <c r="AG47" s="212"/>
      <c r="AH47" s="212"/>
      <c r="AI47" s="212"/>
      <c r="AJ47" s="212"/>
      <c r="AK47" s="212"/>
      <c r="AL47" s="212"/>
      <c r="AM47" s="212"/>
      <c r="AN47" s="212"/>
      <c r="AO47" s="212"/>
      <c r="AP47" s="196"/>
      <c r="AQ47" s="196"/>
      <c r="AR47" s="211"/>
      <c r="AS47" s="212"/>
      <c r="AT47" s="212"/>
      <c r="AU47" s="212"/>
      <c r="AW47" s="58"/>
      <c r="AX47" s="58"/>
      <c r="AY47" s="58"/>
      <c r="AZ47" s="58"/>
    </row>
    <row r="48" spans="1:52" s="185" customFormat="1" ht="15" customHeight="1" x14ac:dyDescent="0.25">
      <c r="A48" s="200"/>
      <c r="B48" s="211"/>
      <c r="C48" s="212">
        <f t="shared" si="2"/>
        <v>3.700000000000002</v>
      </c>
      <c r="D48" s="212">
        <f>15</f>
        <v>15</v>
      </c>
      <c r="E48" s="212">
        <f t="shared" si="3"/>
        <v>40.794124671602574</v>
      </c>
      <c r="F48" s="212">
        <f t="shared" si="4"/>
        <v>0.5</v>
      </c>
      <c r="G48" s="212">
        <f>5</f>
        <v>5</v>
      </c>
      <c r="H48" s="212">
        <f>60</f>
        <v>60</v>
      </c>
      <c r="I48" s="212">
        <f t="shared" si="5"/>
        <v>0.9</v>
      </c>
      <c r="J48" s="212">
        <f>1</f>
        <v>1</v>
      </c>
      <c r="K48" s="212">
        <f t="shared" si="6"/>
        <v>4.1870000000000003</v>
      </c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196"/>
      <c r="AD48" s="27"/>
      <c r="AE48" s="213"/>
      <c r="AF48" s="212">
        <f t="shared" si="7"/>
        <v>0</v>
      </c>
      <c r="AG48" s="212"/>
      <c r="AH48" s="212"/>
      <c r="AI48" s="212"/>
      <c r="AJ48" s="212"/>
      <c r="AK48" s="212"/>
      <c r="AL48" s="212"/>
      <c r="AM48" s="212"/>
      <c r="AN48" s="212"/>
      <c r="AO48" s="212"/>
      <c r="AP48" s="196"/>
      <c r="AQ48" s="196"/>
      <c r="AR48" s="211"/>
      <c r="AS48" s="212"/>
      <c r="AT48" s="212"/>
      <c r="AU48" s="212"/>
      <c r="AW48" s="58"/>
      <c r="AX48" s="58"/>
      <c r="AY48" s="58"/>
      <c r="AZ48" s="58"/>
    </row>
    <row r="49" spans="1:52" s="185" customFormat="1" ht="15" customHeight="1" x14ac:dyDescent="0.25">
      <c r="A49" s="200"/>
      <c r="B49" s="211"/>
      <c r="C49" s="212">
        <f t="shared" si="2"/>
        <v>3.800000000000002</v>
      </c>
      <c r="D49" s="212">
        <f>15</f>
        <v>15</v>
      </c>
      <c r="E49" s="212">
        <f t="shared" si="3"/>
        <v>40.794124671602574</v>
      </c>
      <c r="F49" s="212">
        <f t="shared" si="4"/>
        <v>0.5</v>
      </c>
      <c r="G49" s="212">
        <f>5</f>
        <v>5</v>
      </c>
      <c r="H49" s="212">
        <f>60</f>
        <v>60</v>
      </c>
      <c r="I49" s="212">
        <f t="shared" si="5"/>
        <v>0.9</v>
      </c>
      <c r="J49" s="212">
        <f>1</f>
        <v>1</v>
      </c>
      <c r="K49" s="212">
        <f t="shared" si="6"/>
        <v>4.1870000000000003</v>
      </c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196"/>
      <c r="AD49" s="27"/>
      <c r="AE49" s="213"/>
      <c r="AF49" s="212">
        <f t="shared" si="7"/>
        <v>0</v>
      </c>
      <c r="AG49" s="212"/>
      <c r="AH49" s="212"/>
      <c r="AI49" s="212"/>
      <c r="AJ49" s="212"/>
      <c r="AK49" s="212"/>
      <c r="AL49" s="212"/>
      <c r="AM49" s="212"/>
      <c r="AN49" s="212"/>
      <c r="AO49" s="212"/>
      <c r="AP49" s="196"/>
      <c r="AQ49" s="196"/>
      <c r="AR49" s="211"/>
      <c r="AS49" s="212"/>
      <c r="AT49" s="212"/>
      <c r="AU49" s="212"/>
      <c r="AW49" s="58"/>
      <c r="AX49" s="58"/>
      <c r="AY49" s="58"/>
      <c r="AZ49" s="58"/>
    </row>
    <row r="50" spans="1:52" s="185" customFormat="1" ht="15" customHeight="1" x14ac:dyDescent="0.25">
      <c r="A50" s="200"/>
      <c r="B50" s="211"/>
      <c r="C50" s="212">
        <f t="shared" si="2"/>
        <v>3.9000000000000021</v>
      </c>
      <c r="D50" s="212">
        <f>15</f>
        <v>15</v>
      </c>
      <c r="E50" s="212">
        <f t="shared" si="3"/>
        <v>40.794124671602574</v>
      </c>
      <c r="F50" s="212">
        <f t="shared" si="4"/>
        <v>0.5</v>
      </c>
      <c r="G50" s="212">
        <f>5</f>
        <v>5</v>
      </c>
      <c r="H50" s="212">
        <f>60</f>
        <v>60</v>
      </c>
      <c r="I50" s="212">
        <f t="shared" si="5"/>
        <v>0.9</v>
      </c>
      <c r="J50" s="212">
        <f>1</f>
        <v>1</v>
      </c>
      <c r="K50" s="212">
        <f t="shared" si="6"/>
        <v>4.1870000000000003</v>
      </c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196"/>
      <c r="AD50" s="27"/>
      <c r="AE50" s="213"/>
      <c r="AF50" s="212">
        <f t="shared" si="7"/>
        <v>0</v>
      </c>
      <c r="AG50" s="212"/>
      <c r="AH50" s="212"/>
      <c r="AI50" s="212"/>
      <c r="AJ50" s="212"/>
      <c r="AK50" s="212"/>
      <c r="AL50" s="212"/>
      <c r="AM50" s="212"/>
      <c r="AN50" s="212"/>
      <c r="AO50" s="212"/>
      <c r="AP50" s="196"/>
      <c r="AQ50" s="196"/>
      <c r="AR50" s="211"/>
      <c r="AS50" s="212"/>
      <c r="AT50" s="212"/>
      <c r="AU50" s="212"/>
      <c r="AW50" s="58"/>
      <c r="AX50" s="58"/>
      <c r="AY50" s="58"/>
      <c r="AZ50" s="58"/>
    </row>
    <row r="51" spans="1:52" s="185" customFormat="1" ht="15" customHeight="1" x14ac:dyDescent="0.25">
      <c r="A51" s="200"/>
      <c r="B51" s="211"/>
      <c r="C51" s="212">
        <f t="shared" si="2"/>
        <v>4.0000000000000018</v>
      </c>
      <c r="D51" s="212">
        <f>15</f>
        <v>15</v>
      </c>
      <c r="E51" s="212">
        <f t="shared" si="3"/>
        <v>40.794124671602574</v>
      </c>
      <c r="F51" s="212">
        <f t="shared" si="4"/>
        <v>0.5</v>
      </c>
      <c r="G51" s="212">
        <f>5</f>
        <v>5</v>
      </c>
      <c r="H51" s="212">
        <f>60</f>
        <v>60</v>
      </c>
      <c r="I51" s="212">
        <f t="shared" si="5"/>
        <v>0.9</v>
      </c>
      <c r="J51" s="212">
        <f>1</f>
        <v>1</v>
      </c>
      <c r="K51" s="212">
        <f t="shared" si="6"/>
        <v>4.1870000000000003</v>
      </c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196"/>
      <c r="AD51" s="27"/>
      <c r="AE51" s="213"/>
      <c r="AF51" s="212">
        <f t="shared" si="7"/>
        <v>0</v>
      </c>
      <c r="AG51" s="212"/>
      <c r="AH51" s="212"/>
      <c r="AI51" s="212"/>
      <c r="AJ51" s="212"/>
      <c r="AK51" s="212"/>
      <c r="AL51" s="212"/>
      <c r="AM51" s="212"/>
      <c r="AN51" s="212"/>
      <c r="AO51" s="212"/>
      <c r="AP51" s="196"/>
      <c r="AQ51" s="196"/>
      <c r="AR51" s="211"/>
      <c r="AS51" s="212"/>
      <c r="AT51" s="212"/>
      <c r="AU51" s="212"/>
      <c r="AW51" s="58"/>
      <c r="AX51" s="58"/>
      <c r="AY51" s="58"/>
      <c r="AZ51" s="58"/>
    </row>
    <row r="52" spans="1:52" s="185" customFormat="1" ht="15" customHeight="1" x14ac:dyDescent="0.25">
      <c r="A52" s="200"/>
      <c r="B52" s="211"/>
      <c r="C52" s="212">
        <f t="shared" si="2"/>
        <v>4.1000000000000014</v>
      </c>
      <c r="D52" s="212">
        <f>15</f>
        <v>15</v>
      </c>
      <c r="E52" s="212">
        <f t="shared" si="3"/>
        <v>40.794124671602574</v>
      </c>
      <c r="F52" s="212">
        <f t="shared" si="4"/>
        <v>0.5</v>
      </c>
      <c r="G52" s="212">
        <f>5</f>
        <v>5</v>
      </c>
      <c r="H52" s="212">
        <f>60</f>
        <v>60</v>
      </c>
      <c r="I52" s="212">
        <f t="shared" si="5"/>
        <v>0.9</v>
      </c>
      <c r="J52" s="212">
        <f>1</f>
        <v>1</v>
      </c>
      <c r="K52" s="212">
        <f t="shared" si="6"/>
        <v>4.1870000000000003</v>
      </c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196"/>
      <c r="AD52" s="27"/>
      <c r="AE52" s="213"/>
      <c r="AF52" s="212">
        <f t="shared" si="7"/>
        <v>0</v>
      </c>
      <c r="AG52" s="212"/>
      <c r="AH52" s="212"/>
      <c r="AI52" s="212"/>
      <c r="AJ52" s="212"/>
      <c r="AK52" s="212"/>
      <c r="AL52" s="212"/>
      <c r="AM52" s="212"/>
      <c r="AN52" s="212"/>
      <c r="AO52" s="212"/>
      <c r="AP52" s="196"/>
      <c r="AQ52" s="196"/>
      <c r="AR52" s="211"/>
      <c r="AS52" s="212"/>
      <c r="AT52" s="212"/>
      <c r="AU52" s="212"/>
      <c r="AW52" s="58"/>
      <c r="AX52" s="58"/>
      <c r="AY52" s="58"/>
      <c r="AZ52" s="58"/>
    </row>
    <row r="53" spans="1:52" s="185" customFormat="1" ht="15" customHeight="1" x14ac:dyDescent="0.25">
      <c r="A53" s="200"/>
      <c r="B53" s="211"/>
      <c r="C53" s="212">
        <f t="shared" si="2"/>
        <v>4.2000000000000011</v>
      </c>
      <c r="D53" s="212">
        <f>15</f>
        <v>15</v>
      </c>
      <c r="E53" s="212">
        <f t="shared" si="3"/>
        <v>40.794124671602574</v>
      </c>
      <c r="F53" s="212">
        <f t="shared" si="4"/>
        <v>0.5</v>
      </c>
      <c r="G53" s="212">
        <f>5</f>
        <v>5</v>
      </c>
      <c r="H53" s="212">
        <f>60</f>
        <v>60</v>
      </c>
      <c r="I53" s="212">
        <f t="shared" si="5"/>
        <v>0.9</v>
      </c>
      <c r="J53" s="212">
        <f>1</f>
        <v>1</v>
      </c>
      <c r="K53" s="212">
        <f t="shared" si="6"/>
        <v>4.1870000000000003</v>
      </c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196"/>
      <c r="AD53" s="27"/>
      <c r="AE53" s="213"/>
      <c r="AF53" s="212">
        <f t="shared" si="7"/>
        <v>0</v>
      </c>
      <c r="AG53" s="212"/>
      <c r="AH53" s="212"/>
      <c r="AI53" s="212"/>
      <c r="AJ53" s="212"/>
      <c r="AK53" s="212"/>
      <c r="AL53" s="212"/>
      <c r="AM53" s="212"/>
      <c r="AN53" s="212"/>
      <c r="AO53" s="212"/>
      <c r="AP53" s="196"/>
      <c r="AQ53" s="196"/>
      <c r="AR53" s="211"/>
      <c r="AS53" s="212"/>
      <c r="AT53" s="212"/>
      <c r="AU53" s="212"/>
      <c r="AW53" s="58"/>
      <c r="AX53" s="58"/>
      <c r="AY53" s="58"/>
      <c r="AZ53" s="58"/>
    </row>
    <row r="54" spans="1:52" s="185" customFormat="1" ht="15" customHeight="1" x14ac:dyDescent="0.25">
      <c r="A54" s="200"/>
      <c r="B54" s="211"/>
      <c r="C54" s="212">
        <f t="shared" si="2"/>
        <v>4.3000000000000007</v>
      </c>
      <c r="D54" s="212">
        <f>15</f>
        <v>15</v>
      </c>
      <c r="E54" s="212">
        <f t="shared" si="3"/>
        <v>40.794124671602574</v>
      </c>
      <c r="F54" s="212">
        <f t="shared" si="4"/>
        <v>0.5</v>
      </c>
      <c r="G54" s="212">
        <f>5</f>
        <v>5</v>
      </c>
      <c r="H54" s="212">
        <f>60</f>
        <v>60</v>
      </c>
      <c r="I54" s="212">
        <f t="shared" si="5"/>
        <v>0.9</v>
      </c>
      <c r="J54" s="212">
        <f>1</f>
        <v>1</v>
      </c>
      <c r="K54" s="212">
        <f t="shared" si="6"/>
        <v>4.1870000000000003</v>
      </c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196"/>
      <c r="AD54" s="27"/>
      <c r="AE54" s="213"/>
      <c r="AF54" s="212">
        <f t="shared" si="7"/>
        <v>0</v>
      </c>
      <c r="AG54" s="212"/>
      <c r="AH54" s="212"/>
      <c r="AI54" s="212"/>
      <c r="AJ54" s="212"/>
      <c r="AK54" s="212"/>
      <c r="AL54" s="212"/>
      <c r="AM54" s="212"/>
      <c r="AN54" s="212"/>
      <c r="AO54" s="212"/>
      <c r="AP54" s="196"/>
      <c r="AQ54" s="196"/>
      <c r="AR54" s="211"/>
      <c r="AS54" s="212"/>
      <c r="AT54" s="212"/>
      <c r="AU54" s="212"/>
      <c r="AW54" s="58"/>
      <c r="AX54" s="58"/>
      <c r="AY54" s="58"/>
      <c r="AZ54" s="58"/>
    </row>
    <row r="55" spans="1:52" s="185" customFormat="1" ht="15" customHeight="1" x14ac:dyDescent="0.25">
      <c r="A55" s="200"/>
      <c r="B55" s="211"/>
      <c r="C55" s="212">
        <f t="shared" si="2"/>
        <v>4.4000000000000004</v>
      </c>
      <c r="D55" s="212">
        <f>15</f>
        <v>15</v>
      </c>
      <c r="E55" s="212">
        <f t="shared" si="3"/>
        <v>40.794124671602574</v>
      </c>
      <c r="F55" s="212">
        <f t="shared" si="4"/>
        <v>0.5</v>
      </c>
      <c r="G55" s="212">
        <f>5</f>
        <v>5</v>
      </c>
      <c r="H55" s="212">
        <f>60</f>
        <v>60</v>
      </c>
      <c r="I55" s="212">
        <f t="shared" si="5"/>
        <v>0.9</v>
      </c>
      <c r="J55" s="212">
        <f>1</f>
        <v>1</v>
      </c>
      <c r="K55" s="212">
        <f t="shared" si="6"/>
        <v>4.1870000000000003</v>
      </c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196"/>
      <c r="AD55" s="27"/>
      <c r="AE55" s="213"/>
      <c r="AF55" s="212">
        <f t="shared" si="7"/>
        <v>0</v>
      </c>
      <c r="AG55" s="212"/>
      <c r="AH55" s="212"/>
      <c r="AI55" s="212"/>
      <c r="AJ55" s="212"/>
      <c r="AK55" s="212"/>
      <c r="AL55" s="212"/>
      <c r="AM55" s="212"/>
      <c r="AN55" s="212"/>
      <c r="AO55" s="212"/>
      <c r="AP55" s="196"/>
      <c r="AQ55" s="196"/>
      <c r="AR55" s="211"/>
      <c r="AS55" s="212"/>
      <c r="AT55" s="212"/>
      <c r="AU55" s="212"/>
      <c r="AW55" s="58"/>
      <c r="AX55" s="58"/>
      <c r="AY55" s="58"/>
      <c r="AZ55" s="58"/>
    </row>
    <row r="56" spans="1:52" s="185" customFormat="1" ht="15" customHeight="1" x14ac:dyDescent="0.25">
      <c r="A56" s="200"/>
      <c r="B56" s="211"/>
      <c r="C56" s="212">
        <f t="shared" si="2"/>
        <v>4.5</v>
      </c>
      <c r="D56" s="212">
        <f>15</f>
        <v>15</v>
      </c>
      <c r="E56" s="212">
        <f t="shared" si="3"/>
        <v>40.794124671602574</v>
      </c>
      <c r="F56" s="212">
        <f t="shared" si="4"/>
        <v>0.5</v>
      </c>
      <c r="G56" s="212">
        <f>5</f>
        <v>5</v>
      </c>
      <c r="H56" s="212">
        <f>60</f>
        <v>60</v>
      </c>
      <c r="I56" s="212">
        <f t="shared" si="5"/>
        <v>0.9</v>
      </c>
      <c r="J56" s="212">
        <f>1</f>
        <v>1</v>
      </c>
      <c r="K56" s="212">
        <f t="shared" si="6"/>
        <v>4.1870000000000003</v>
      </c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196"/>
      <c r="AD56" s="27"/>
      <c r="AE56" s="213"/>
      <c r="AF56" s="212">
        <f t="shared" si="7"/>
        <v>0</v>
      </c>
      <c r="AG56" s="212"/>
      <c r="AH56" s="212"/>
      <c r="AI56" s="212"/>
      <c r="AJ56" s="212"/>
      <c r="AK56" s="212"/>
      <c r="AL56" s="212"/>
      <c r="AM56" s="212"/>
      <c r="AN56" s="212"/>
      <c r="AO56" s="212"/>
      <c r="AP56" s="196"/>
      <c r="AQ56" s="196"/>
      <c r="AR56" s="211"/>
      <c r="AS56" s="212"/>
      <c r="AT56" s="212"/>
      <c r="AU56" s="212"/>
      <c r="AW56" s="58"/>
      <c r="AX56" s="58"/>
      <c r="AY56" s="58"/>
      <c r="AZ56" s="58"/>
    </row>
    <row r="57" spans="1:52" s="185" customFormat="1" ht="15" customHeight="1" x14ac:dyDescent="0.25">
      <c r="A57" s="200"/>
      <c r="B57" s="211"/>
      <c r="C57" s="212">
        <f t="shared" si="2"/>
        <v>4.5999999999999996</v>
      </c>
      <c r="D57" s="212">
        <f>15</f>
        <v>15</v>
      </c>
      <c r="E57" s="212">
        <f t="shared" si="3"/>
        <v>40.794124671602574</v>
      </c>
      <c r="F57" s="212">
        <f t="shared" si="4"/>
        <v>0.5</v>
      </c>
      <c r="G57" s="212">
        <f>5</f>
        <v>5</v>
      </c>
      <c r="H57" s="212">
        <f>60</f>
        <v>60</v>
      </c>
      <c r="I57" s="212">
        <f t="shared" si="5"/>
        <v>0.9</v>
      </c>
      <c r="J57" s="212">
        <f>1</f>
        <v>1</v>
      </c>
      <c r="K57" s="212">
        <f t="shared" si="6"/>
        <v>4.1870000000000003</v>
      </c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196"/>
      <c r="AD57" s="27"/>
      <c r="AE57" s="213"/>
      <c r="AF57" s="212">
        <f t="shared" si="7"/>
        <v>0</v>
      </c>
      <c r="AG57" s="212"/>
      <c r="AH57" s="212"/>
      <c r="AI57" s="212"/>
      <c r="AJ57" s="212"/>
      <c r="AK57" s="212"/>
      <c r="AL57" s="212"/>
      <c r="AM57" s="212"/>
      <c r="AN57" s="212"/>
      <c r="AO57" s="212"/>
      <c r="AP57" s="196"/>
      <c r="AQ57" s="196"/>
      <c r="AR57" s="211"/>
      <c r="AS57" s="212"/>
      <c r="AT57" s="212"/>
      <c r="AU57" s="212"/>
      <c r="AW57" s="58"/>
      <c r="AX57" s="58"/>
      <c r="AY57" s="58"/>
      <c r="AZ57" s="58"/>
    </row>
    <row r="58" spans="1:52" s="185" customFormat="1" ht="15" customHeight="1" x14ac:dyDescent="0.25">
      <c r="A58" s="200"/>
      <c r="B58" s="211"/>
      <c r="C58" s="212">
        <f t="shared" si="2"/>
        <v>4.6999999999999993</v>
      </c>
      <c r="D58" s="212">
        <f>15</f>
        <v>15</v>
      </c>
      <c r="E58" s="212">
        <f t="shared" si="3"/>
        <v>40.794124671602574</v>
      </c>
      <c r="F58" s="212">
        <f t="shared" si="4"/>
        <v>0.5</v>
      </c>
      <c r="G58" s="212">
        <f>5</f>
        <v>5</v>
      </c>
      <c r="H58" s="212">
        <f>60</f>
        <v>60</v>
      </c>
      <c r="I58" s="212">
        <f t="shared" si="5"/>
        <v>0.9</v>
      </c>
      <c r="J58" s="212">
        <f>1</f>
        <v>1</v>
      </c>
      <c r="K58" s="212">
        <f t="shared" si="6"/>
        <v>4.1870000000000003</v>
      </c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196"/>
      <c r="AD58" s="27"/>
      <c r="AE58" s="213"/>
      <c r="AF58" s="212">
        <f t="shared" si="7"/>
        <v>0</v>
      </c>
      <c r="AG58" s="212"/>
      <c r="AH58" s="212"/>
      <c r="AI58" s="212"/>
      <c r="AJ58" s="212"/>
      <c r="AK58" s="212"/>
      <c r="AL58" s="212"/>
      <c r="AM58" s="212"/>
      <c r="AN58" s="212"/>
      <c r="AO58" s="212"/>
      <c r="AP58" s="196"/>
      <c r="AQ58" s="196"/>
      <c r="AR58" s="211"/>
      <c r="AS58" s="212"/>
      <c r="AT58" s="212"/>
      <c r="AU58" s="212"/>
      <c r="AW58" s="58"/>
      <c r="AX58" s="58"/>
      <c r="AY58" s="58"/>
      <c r="AZ58" s="58"/>
    </row>
    <row r="59" spans="1:52" s="185" customFormat="1" ht="15" customHeight="1" x14ac:dyDescent="0.25">
      <c r="A59" s="200"/>
      <c r="B59" s="211"/>
      <c r="C59" s="212">
        <f t="shared" si="2"/>
        <v>4.7999999999999989</v>
      </c>
      <c r="D59" s="212">
        <f>15</f>
        <v>15</v>
      </c>
      <c r="E59" s="212">
        <f t="shared" si="3"/>
        <v>40.794124671602574</v>
      </c>
      <c r="F59" s="212">
        <f t="shared" si="4"/>
        <v>0.5</v>
      </c>
      <c r="G59" s="212">
        <f>5</f>
        <v>5</v>
      </c>
      <c r="H59" s="212">
        <f>60</f>
        <v>60</v>
      </c>
      <c r="I59" s="212">
        <f t="shared" si="5"/>
        <v>0.9</v>
      </c>
      <c r="J59" s="212">
        <f>1</f>
        <v>1</v>
      </c>
      <c r="K59" s="212">
        <f t="shared" si="6"/>
        <v>4.1870000000000003</v>
      </c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196"/>
      <c r="AD59" s="27"/>
      <c r="AE59" s="213"/>
      <c r="AF59" s="212">
        <f t="shared" si="7"/>
        <v>0</v>
      </c>
      <c r="AG59" s="212"/>
      <c r="AH59" s="212"/>
      <c r="AI59" s="212"/>
      <c r="AJ59" s="212"/>
      <c r="AK59" s="212"/>
      <c r="AL59" s="212"/>
      <c r="AM59" s="212"/>
      <c r="AN59" s="212"/>
      <c r="AO59" s="212"/>
      <c r="AP59" s="196"/>
      <c r="AQ59" s="196"/>
      <c r="AR59" s="211"/>
      <c r="AS59" s="212"/>
      <c r="AT59" s="212"/>
      <c r="AU59" s="212"/>
      <c r="AW59" s="58"/>
      <c r="AX59" s="58"/>
      <c r="AY59" s="58"/>
      <c r="AZ59" s="58"/>
    </row>
    <row r="60" spans="1:52" s="185" customFormat="1" ht="15" customHeight="1" x14ac:dyDescent="0.25">
      <c r="A60" s="200"/>
      <c r="B60" s="211"/>
      <c r="C60" s="212">
        <f t="shared" si="2"/>
        <v>4.8999999999999986</v>
      </c>
      <c r="D60" s="212">
        <f>15</f>
        <v>15</v>
      </c>
      <c r="E60" s="212">
        <f t="shared" si="3"/>
        <v>40.794124671602574</v>
      </c>
      <c r="F60" s="212">
        <f t="shared" si="4"/>
        <v>0.5</v>
      </c>
      <c r="G60" s="212">
        <f>5</f>
        <v>5</v>
      </c>
      <c r="H60" s="212">
        <f>60</f>
        <v>60</v>
      </c>
      <c r="I60" s="212">
        <f t="shared" si="5"/>
        <v>0.9</v>
      </c>
      <c r="J60" s="212">
        <f>1</f>
        <v>1</v>
      </c>
      <c r="K60" s="212">
        <f t="shared" si="6"/>
        <v>4.1870000000000003</v>
      </c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2"/>
      <c r="AC60" s="196"/>
      <c r="AD60" s="27"/>
      <c r="AE60" s="213"/>
      <c r="AF60" s="212">
        <f t="shared" si="7"/>
        <v>0</v>
      </c>
      <c r="AG60" s="212"/>
      <c r="AH60" s="212"/>
      <c r="AI60" s="212"/>
      <c r="AJ60" s="212"/>
      <c r="AK60" s="212"/>
      <c r="AL60" s="212"/>
      <c r="AM60" s="212"/>
      <c r="AN60" s="212"/>
      <c r="AO60" s="212"/>
      <c r="AP60" s="196"/>
      <c r="AQ60" s="196"/>
      <c r="AR60" s="211"/>
      <c r="AS60" s="212"/>
      <c r="AT60" s="212"/>
      <c r="AU60" s="212"/>
      <c r="AW60" s="58"/>
      <c r="AX60" s="58"/>
      <c r="AY60" s="58"/>
      <c r="AZ60" s="58"/>
    </row>
    <row r="61" spans="1:52" s="185" customFormat="1" ht="15" customHeight="1" x14ac:dyDescent="0.25">
      <c r="A61" s="200"/>
      <c r="B61" s="211"/>
      <c r="C61" s="212">
        <f t="shared" si="2"/>
        <v>4.9999999999999982</v>
      </c>
      <c r="D61" s="231">
        <f>15+[2]!STEPLOAD(5)</f>
        <v>20</v>
      </c>
      <c r="E61" s="212">
        <f t="shared" si="3"/>
        <v>40.794124671602574</v>
      </c>
      <c r="F61" s="212">
        <f t="shared" si="4"/>
        <v>0.5</v>
      </c>
      <c r="G61" s="212">
        <f>5</f>
        <v>5</v>
      </c>
      <c r="H61" s="212">
        <f>60</f>
        <v>60</v>
      </c>
      <c r="I61" s="212">
        <f t="shared" si="5"/>
        <v>0.9</v>
      </c>
      <c r="J61" s="212">
        <f>1</f>
        <v>1</v>
      </c>
      <c r="K61" s="212">
        <f t="shared" si="6"/>
        <v>4.1870000000000003</v>
      </c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196"/>
      <c r="AD61" s="27"/>
      <c r="AE61" s="213"/>
      <c r="AF61" s="212">
        <f t="shared" si="7"/>
        <v>0.50000000000000044</v>
      </c>
      <c r="AG61" s="212"/>
      <c r="AH61" s="212"/>
      <c r="AI61" s="212"/>
      <c r="AJ61" s="212"/>
      <c r="AK61" s="212"/>
      <c r="AL61" s="212"/>
      <c r="AM61" s="212"/>
      <c r="AN61" s="212"/>
      <c r="AO61" s="212"/>
      <c r="AP61" s="196"/>
      <c r="AQ61" s="196"/>
      <c r="AR61" s="211"/>
      <c r="AS61" s="212"/>
      <c r="AT61" s="212"/>
      <c r="AU61" s="212"/>
      <c r="AW61" s="58"/>
      <c r="AX61" s="58"/>
      <c r="AY61" s="58"/>
      <c r="AZ61" s="58"/>
    </row>
    <row r="62" spans="1:52" s="185" customFormat="1" ht="15" customHeight="1" x14ac:dyDescent="0.25">
      <c r="A62" s="200"/>
      <c r="B62" s="211"/>
      <c r="C62" s="212">
        <f t="shared" si="2"/>
        <v>5.0999999999999979</v>
      </c>
      <c r="D62" s="231">
        <f>15+[2]!STEPLOAD(5)</f>
        <v>20</v>
      </c>
      <c r="E62" s="212">
        <f t="shared" si="3"/>
        <v>40.844124671602572</v>
      </c>
      <c r="F62" s="212">
        <f t="shared" si="4"/>
        <v>0.5</v>
      </c>
      <c r="G62" s="212">
        <f>5</f>
        <v>5</v>
      </c>
      <c r="H62" s="212">
        <f>60</f>
        <v>60</v>
      </c>
      <c r="I62" s="212">
        <f t="shared" si="5"/>
        <v>0.9</v>
      </c>
      <c r="J62" s="212">
        <f>1</f>
        <v>1</v>
      </c>
      <c r="K62" s="212">
        <f t="shared" si="6"/>
        <v>4.1870000000000003</v>
      </c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196"/>
      <c r="AD62" s="27"/>
      <c r="AE62" s="213"/>
      <c r="AF62" s="212">
        <f t="shared" si="7"/>
        <v>0.49500000000000099</v>
      </c>
      <c r="AG62" s="212"/>
      <c r="AH62" s="212"/>
      <c r="AI62" s="212"/>
      <c r="AJ62" s="212"/>
      <c r="AK62" s="212"/>
      <c r="AL62" s="212"/>
      <c r="AM62" s="212"/>
      <c r="AN62" s="212"/>
      <c r="AO62" s="212"/>
      <c r="AP62" s="196"/>
      <c r="AQ62" s="196"/>
      <c r="AR62" s="211"/>
      <c r="AS62" s="212"/>
      <c r="AT62" s="212"/>
      <c r="AU62" s="212"/>
      <c r="AW62" s="58"/>
      <c r="AX62" s="58"/>
      <c r="AY62" s="58"/>
      <c r="AZ62" s="58"/>
    </row>
    <row r="63" spans="1:52" s="185" customFormat="1" ht="15" customHeight="1" x14ac:dyDescent="0.25">
      <c r="A63" s="200"/>
      <c r="B63" s="211"/>
      <c r="C63" s="212">
        <f t="shared" si="2"/>
        <v>5.1999999999999975</v>
      </c>
      <c r="D63" s="231">
        <f>15+[2]!STEPLOAD(5)</f>
        <v>20</v>
      </c>
      <c r="E63" s="212">
        <f t="shared" si="3"/>
        <v>40.893624671602574</v>
      </c>
      <c r="F63" s="212">
        <f t="shared" si="4"/>
        <v>0.5</v>
      </c>
      <c r="G63" s="212">
        <f>5</f>
        <v>5</v>
      </c>
      <c r="H63" s="212">
        <f>60</f>
        <v>60</v>
      </c>
      <c r="I63" s="212">
        <f t="shared" si="5"/>
        <v>0.9</v>
      </c>
      <c r="J63" s="212">
        <f>1</f>
        <v>1</v>
      </c>
      <c r="K63" s="212">
        <f t="shared" si="6"/>
        <v>4.1870000000000003</v>
      </c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196"/>
      <c r="AD63" s="27"/>
      <c r="AE63" s="213"/>
      <c r="AF63" s="212">
        <f t="shared" si="7"/>
        <v>0.49005000000000054</v>
      </c>
      <c r="AG63" s="212"/>
      <c r="AH63" s="212"/>
      <c r="AI63" s="212"/>
      <c r="AJ63" s="212"/>
      <c r="AK63" s="212"/>
      <c r="AL63" s="212"/>
      <c r="AM63" s="212"/>
      <c r="AN63" s="212"/>
      <c r="AO63" s="212"/>
      <c r="AP63" s="196"/>
      <c r="AQ63" s="196"/>
      <c r="AR63" s="211"/>
      <c r="AS63" s="212"/>
      <c r="AT63" s="212"/>
      <c r="AU63" s="212"/>
      <c r="AW63" s="58"/>
      <c r="AX63" s="58"/>
      <c r="AY63" s="58"/>
      <c r="AZ63" s="58"/>
    </row>
    <row r="64" spans="1:52" s="185" customFormat="1" ht="15" customHeight="1" x14ac:dyDescent="0.25">
      <c r="A64" s="200"/>
      <c r="B64" s="211"/>
      <c r="C64" s="212">
        <f t="shared" si="2"/>
        <v>5.2999999999999972</v>
      </c>
      <c r="D64" s="231">
        <f>15+[2]!STEPLOAD(5)</f>
        <v>20</v>
      </c>
      <c r="E64" s="212">
        <f t="shared" si="3"/>
        <v>40.942629671602575</v>
      </c>
      <c r="F64" s="212">
        <f t="shared" si="4"/>
        <v>0.5</v>
      </c>
      <c r="G64" s="212">
        <f>5</f>
        <v>5</v>
      </c>
      <c r="H64" s="212">
        <f>60</f>
        <v>60</v>
      </c>
      <c r="I64" s="212">
        <f t="shared" si="5"/>
        <v>0.9</v>
      </c>
      <c r="J64" s="212">
        <f>1</f>
        <v>1</v>
      </c>
      <c r="K64" s="212">
        <f t="shared" si="6"/>
        <v>4.1870000000000003</v>
      </c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196"/>
      <c r="AD64" s="27"/>
      <c r="AE64" s="213"/>
      <c r="AF64" s="212">
        <f t="shared" si="7"/>
        <v>0.48514950000000034</v>
      </c>
      <c r="AG64" s="212"/>
      <c r="AH64" s="212"/>
      <c r="AI64" s="212"/>
      <c r="AJ64" s="212"/>
      <c r="AK64" s="212"/>
      <c r="AL64" s="212"/>
      <c r="AM64" s="212"/>
      <c r="AN64" s="212"/>
      <c r="AO64" s="212"/>
      <c r="AP64" s="196"/>
      <c r="AQ64" s="196"/>
      <c r="AR64" s="211"/>
      <c r="AS64" s="212"/>
      <c r="AT64" s="212"/>
      <c r="AU64" s="212"/>
      <c r="AW64" s="58"/>
      <c r="AX64" s="58"/>
      <c r="AY64" s="58"/>
      <c r="AZ64" s="58"/>
    </row>
    <row r="65" spans="1:52" s="185" customFormat="1" ht="15" customHeight="1" x14ac:dyDescent="0.25">
      <c r="A65" s="200"/>
      <c r="B65" s="211"/>
      <c r="C65" s="212">
        <f t="shared" si="2"/>
        <v>5.3999999999999968</v>
      </c>
      <c r="D65" s="231">
        <f>15+[2]!STEPLOAD(5)</f>
        <v>20</v>
      </c>
      <c r="E65" s="212">
        <f t="shared" si="3"/>
        <v>40.991144621602572</v>
      </c>
      <c r="F65" s="212">
        <f t="shared" si="4"/>
        <v>0.5</v>
      </c>
      <c r="G65" s="212">
        <f>5</f>
        <v>5</v>
      </c>
      <c r="H65" s="212">
        <f>60</f>
        <v>60</v>
      </c>
      <c r="I65" s="212">
        <f t="shared" si="5"/>
        <v>0.9</v>
      </c>
      <c r="J65" s="212">
        <f>1</f>
        <v>1</v>
      </c>
      <c r="K65" s="212">
        <f t="shared" si="6"/>
        <v>4.1870000000000003</v>
      </c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196"/>
      <c r="AD65" s="27"/>
      <c r="AE65" s="213"/>
      <c r="AF65" s="212">
        <f t="shared" si="7"/>
        <v>0.48029800500000075</v>
      </c>
      <c r="AG65" s="212"/>
      <c r="AH65" s="212"/>
      <c r="AI65" s="212"/>
      <c r="AJ65" s="212"/>
      <c r="AK65" s="212"/>
      <c r="AL65" s="212"/>
      <c r="AM65" s="212"/>
      <c r="AN65" s="212"/>
      <c r="AO65" s="212"/>
      <c r="AP65" s="196"/>
      <c r="AQ65" s="196"/>
      <c r="AR65" s="211"/>
      <c r="AS65" s="212"/>
      <c r="AT65" s="212"/>
      <c r="AU65" s="212"/>
      <c r="AW65" s="58"/>
      <c r="AX65" s="58"/>
      <c r="AY65" s="58"/>
      <c r="AZ65" s="58"/>
    </row>
    <row r="66" spans="1:52" s="185" customFormat="1" ht="15" customHeight="1" x14ac:dyDescent="0.25">
      <c r="A66" s="200"/>
      <c r="B66" s="211"/>
      <c r="C66" s="212">
        <f t="shared" si="2"/>
        <v>5.4999999999999964</v>
      </c>
      <c r="D66" s="231">
        <f>15+[2]!STEPLOAD(5)</f>
        <v>20</v>
      </c>
      <c r="E66" s="212">
        <f t="shared" si="3"/>
        <v>41.039174422102569</v>
      </c>
      <c r="F66" s="212">
        <f t="shared" si="4"/>
        <v>0.5</v>
      </c>
      <c r="G66" s="212">
        <f>5</f>
        <v>5</v>
      </c>
      <c r="H66" s="212">
        <f>60</f>
        <v>60</v>
      </c>
      <c r="I66" s="212">
        <f t="shared" si="5"/>
        <v>0.9</v>
      </c>
      <c r="J66" s="212">
        <f>1</f>
        <v>1</v>
      </c>
      <c r="K66" s="212">
        <f t="shared" si="6"/>
        <v>4.1870000000000003</v>
      </c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196"/>
      <c r="AD66" s="27"/>
      <c r="AE66" s="213"/>
      <c r="AF66" s="212">
        <f t="shared" si="7"/>
        <v>0.47549502495000118</v>
      </c>
      <c r="AG66" s="212"/>
      <c r="AH66" s="212"/>
      <c r="AI66" s="212"/>
      <c r="AJ66" s="212"/>
      <c r="AK66" s="212"/>
      <c r="AL66" s="212"/>
      <c r="AM66" s="212"/>
      <c r="AN66" s="212"/>
      <c r="AO66" s="212"/>
      <c r="AP66" s="196"/>
      <c r="AQ66" s="196"/>
      <c r="AR66" s="211"/>
      <c r="AS66" s="212"/>
      <c r="AT66" s="212"/>
      <c r="AU66" s="212"/>
      <c r="AW66" s="58"/>
      <c r="AX66" s="58"/>
      <c r="AY66" s="58"/>
      <c r="AZ66" s="58"/>
    </row>
    <row r="67" spans="1:52" s="185" customFormat="1" ht="15" customHeight="1" x14ac:dyDescent="0.25">
      <c r="A67" s="200"/>
      <c r="B67" s="211"/>
      <c r="C67" s="212">
        <f t="shared" si="2"/>
        <v>5.5999999999999961</v>
      </c>
      <c r="D67" s="231">
        <f>15+[2]!STEPLOAD(5)</f>
        <v>20</v>
      </c>
      <c r="E67" s="212">
        <f t="shared" si="3"/>
        <v>41.086723924597571</v>
      </c>
      <c r="F67" s="212">
        <f t="shared" si="4"/>
        <v>0.5</v>
      </c>
      <c r="G67" s="212">
        <f>5</f>
        <v>5</v>
      </c>
      <c r="H67" s="212">
        <f>60</f>
        <v>60</v>
      </c>
      <c r="I67" s="212">
        <f t="shared" si="5"/>
        <v>0.9</v>
      </c>
      <c r="J67" s="212">
        <f>1</f>
        <v>1</v>
      </c>
      <c r="K67" s="212">
        <f t="shared" si="6"/>
        <v>4.1870000000000003</v>
      </c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196"/>
      <c r="AD67" s="27"/>
      <c r="AE67" s="213"/>
      <c r="AF67" s="212">
        <f t="shared" si="7"/>
        <v>0.47074007470050105</v>
      </c>
      <c r="AG67" s="212"/>
      <c r="AH67" s="212"/>
      <c r="AI67" s="212"/>
      <c r="AJ67" s="212"/>
      <c r="AK67" s="212"/>
      <c r="AL67" s="212"/>
      <c r="AM67" s="212"/>
      <c r="AN67" s="212"/>
      <c r="AO67" s="212"/>
      <c r="AP67" s="196"/>
      <c r="AQ67" s="196"/>
      <c r="AR67" s="211"/>
      <c r="AS67" s="212"/>
      <c r="AT67" s="212"/>
      <c r="AU67" s="212"/>
      <c r="AW67" s="58"/>
      <c r="AX67" s="58"/>
      <c r="AY67" s="58"/>
      <c r="AZ67" s="58"/>
    </row>
    <row r="68" spans="1:52" s="185" customFormat="1" ht="15" customHeight="1" x14ac:dyDescent="0.25">
      <c r="A68" s="200"/>
      <c r="B68" s="211"/>
      <c r="C68" s="212">
        <f t="shared" si="2"/>
        <v>5.6999999999999957</v>
      </c>
      <c r="D68" s="231">
        <f>15+[2]!STEPLOAD(5)</f>
        <v>20</v>
      </c>
      <c r="E68" s="212">
        <f t="shared" si="3"/>
        <v>41.133797932067623</v>
      </c>
      <c r="F68" s="212">
        <f t="shared" si="4"/>
        <v>0.5</v>
      </c>
      <c r="G68" s="212">
        <f>5</f>
        <v>5</v>
      </c>
      <c r="H68" s="212">
        <f>60</f>
        <v>60</v>
      </c>
      <c r="I68" s="212">
        <f t="shared" si="5"/>
        <v>0.9</v>
      </c>
      <c r="J68" s="212">
        <f>1</f>
        <v>1</v>
      </c>
      <c r="K68" s="212">
        <f t="shared" si="6"/>
        <v>4.1870000000000003</v>
      </c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196"/>
      <c r="AD68" s="27"/>
      <c r="AE68" s="213"/>
      <c r="AF68" s="212">
        <f t="shared" si="7"/>
        <v>0.4660326739534959</v>
      </c>
      <c r="AG68" s="212"/>
      <c r="AH68" s="212"/>
      <c r="AI68" s="212"/>
      <c r="AJ68" s="212"/>
      <c r="AK68" s="212"/>
      <c r="AL68" s="212"/>
      <c r="AM68" s="212"/>
      <c r="AN68" s="212"/>
      <c r="AO68" s="212"/>
      <c r="AP68" s="196"/>
      <c r="AQ68" s="196"/>
      <c r="AR68" s="211"/>
      <c r="AS68" s="212"/>
      <c r="AT68" s="212"/>
      <c r="AU68" s="212"/>
      <c r="AW68" s="58"/>
      <c r="AX68" s="58"/>
      <c r="AY68" s="58"/>
      <c r="AZ68" s="58"/>
    </row>
    <row r="69" spans="1:52" s="185" customFormat="1" ht="15" customHeight="1" x14ac:dyDescent="0.25">
      <c r="A69" s="200"/>
      <c r="B69" s="211"/>
      <c r="C69" s="212">
        <f t="shared" si="2"/>
        <v>5.7999999999999954</v>
      </c>
      <c r="D69" s="231">
        <f>15+[2]!STEPLOAD(5)</f>
        <v>20</v>
      </c>
      <c r="E69" s="212">
        <f t="shared" si="3"/>
        <v>41.18040119946297</v>
      </c>
      <c r="F69" s="212">
        <f t="shared" si="4"/>
        <v>0.5</v>
      </c>
      <c r="G69" s="212">
        <f>5</f>
        <v>5</v>
      </c>
      <c r="H69" s="212">
        <f>60</f>
        <v>60</v>
      </c>
      <c r="I69" s="212">
        <f t="shared" si="5"/>
        <v>0.9</v>
      </c>
      <c r="J69" s="212">
        <f>1</f>
        <v>1</v>
      </c>
      <c r="K69" s="212">
        <f t="shared" si="6"/>
        <v>4.1870000000000003</v>
      </c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196"/>
      <c r="AD69" s="27"/>
      <c r="AE69" s="213"/>
      <c r="AF69" s="212">
        <f t="shared" si="7"/>
        <v>0.46137234721396103</v>
      </c>
      <c r="AG69" s="212"/>
      <c r="AH69" s="212"/>
      <c r="AI69" s="212"/>
      <c r="AJ69" s="212"/>
      <c r="AK69" s="212"/>
      <c r="AL69" s="212"/>
      <c r="AM69" s="212"/>
      <c r="AN69" s="212"/>
      <c r="AO69" s="212"/>
      <c r="AP69" s="196"/>
      <c r="AQ69" s="196"/>
      <c r="AR69" s="211"/>
      <c r="AS69" s="212"/>
      <c r="AT69" s="212"/>
      <c r="AU69" s="212"/>
      <c r="AW69" s="58"/>
      <c r="AX69" s="58"/>
      <c r="AY69" s="58"/>
      <c r="AZ69" s="58"/>
    </row>
    <row r="70" spans="1:52" s="185" customFormat="1" ht="15" customHeight="1" x14ac:dyDescent="0.25">
      <c r="A70" s="200"/>
      <c r="B70" s="211"/>
      <c r="C70" s="212">
        <f t="shared" si="2"/>
        <v>5.899999999999995</v>
      </c>
      <c r="D70" s="231">
        <f>15+[2]!STEPLOAD(5)</f>
        <v>20</v>
      </c>
      <c r="E70" s="212">
        <f t="shared" si="3"/>
        <v>41.226538434184363</v>
      </c>
      <c r="F70" s="212">
        <f t="shared" si="4"/>
        <v>0.5</v>
      </c>
      <c r="G70" s="212">
        <f>5</f>
        <v>5</v>
      </c>
      <c r="H70" s="212">
        <f>60</f>
        <v>60</v>
      </c>
      <c r="I70" s="212">
        <f t="shared" si="5"/>
        <v>0.9</v>
      </c>
      <c r="J70" s="212">
        <f>1</f>
        <v>1</v>
      </c>
      <c r="K70" s="212">
        <f t="shared" si="6"/>
        <v>4.1870000000000003</v>
      </c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196"/>
      <c r="AD70" s="27"/>
      <c r="AE70" s="213"/>
      <c r="AF70" s="212">
        <f t="shared" si="7"/>
        <v>0.45675862374182152</v>
      </c>
      <c r="AG70" s="212"/>
      <c r="AH70" s="212"/>
      <c r="AI70" s="212"/>
      <c r="AJ70" s="212"/>
      <c r="AK70" s="212"/>
      <c r="AL70" s="212"/>
      <c r="AM70" s="212"/>
      <c r="AN70" s="212"/>
      <c r="AO70" s="212"/>
      <c r="AP70" s="196"/>
      <c r="AQ70" s="196"/>
      <c r="AR70" s="211"/>
      <c r="AS70" s="212"/>
      <c r="AT70" s="212"/>
      <c r="AU70" s="212"/>
      <c r="AW70" s="58"/>
      <c r="AX70" s="58"/>
      <c r="AY70" s="58"/>
      <c r="AZ70" s="58"/>
    </row>
    <row r="71" spans="1:52" s="185" customFormat="1" ht="15" customHeight="1" x14ac:dyDescent="0.25">
      <c r="A71" s="200"/>
      <c r="B71" s="211"/>
      <c r="C71" s="212">
        <f t="shared" si="2"/>
        <v>5.9999999999999947</v>
      </c>
      <c r="D71" s="231">
        <f>15+[2]!STEPLOAD(5)</f>
        <v>20</v>
      </c>
      <c r="E71" s="212">
        <f t="shared" si="3"/>
        <v>41.272214296558545</v>
      </c>
      <c r="F71" s="212">
        <f t="shared" si="4"/>
        <v>0.5</v>
      </c>
      <c r="G71" s="212">
        <f>5</f>
        <v>5</v>
      </c>
      <c r="H71" s="212">
        <f>60</f>
        <v>60</v>
      </c>
      <c r="I71" s="212">
        <f t="shared" si="5"/>
        <v>0.9</v>
      </c>
      <c r="J71" s="212">
        <f>1</f>
        <v>1</v>
      </c>
      <c r="K71" s="212">
        <f t="shared" si="6"/>
        <v>4.1870000000000003</v>
      </c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196"/>
      <c r="AD71" s="27"/>
      <c r="AE71" s="213"/>
      <c r="AF71" s="212">
        <f t="shared" si="7"/>
        <v>0.45219103750440359</v>
      </c>
      <c r="AG71" s="212"/>
      <c r="AH71" s="212"/>
      <c r="AI71" s="212"/>
      <c r="AJ71" s="212"/>
      <c r="AK71" s="212"/>
      <c r="AL71" s="212"/>
      <c r="AM71" s="212"/>
      <c r="AN71" s="212"/>
      <c r="AO71" s="212"/>
      <c r="AP71" s="196"/>
      <c r="AQ71" s="196"/>
      <c r="AR71" s="211"/>
      <c r="AS71" s="212"/>
      <c r="AT71" s="212"/>
      <c r="AU71" s="212"/>
      <c r="AW71" s="58"/>
      <c r="AX71" s="58"/>
      <c r="AY71" s="58"/>
      <c r="AZ71" s="58"/>
    </row>
    <row r="72" spans="1:52" s="185" customFormat="1" ht="15" customHeight="1" x14ac:dyDescent="0.25">
      <c r="A72" s="200"/>
      <c r="B72" s="211"/>
      <c r="C72" s="212">
        <f t="shared" si="2"/>
        <v>6.0999999999999943</v>
      </c>
      <c r="D72" s="231">
        <f>15+[2]!STEPLOAD(5)</f>
        <v>20</v>
      </c>
      <c r="E72" s="212">
        <f t="shared" si="3"/>
        <v>41.317433400308985</v>
      </c>
      <c r="F72" s="212">
        <f t="shared" si="4"/>
        <v>0.5</v>
      </c>
      <c r="G72" s="212">
        <f>5</f>
        <v>5</v>
      </c>
      <c r="H72" s="212">
        <f>60</f>
        <v>60</v>
      </c>
      <c r="I72" s="212">
        <f t="shared" si="5"/>
        <v>0.9</v>
      </c>
      <c r="J72" s="212">
        <f>1</f>
        <v>1</v>
      </c>
      <c r="K72" s="212">
        <f t="shared" si="6"/>
        <v>4.1870000000000003</v>
      </c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196"/>
      <c r="AD72" s="27"/>
      <c r="AE72" s="213"/>
      <c r="AF72" s="212">
        <f t="shared" si="7"/>
        <v>0.44766912712935936</v>
      </c>
      <c r="AG72" s="212"/>
      <c r="AH72" s="212"/>
      <c r="AI72" s="212"/>
      <c r="AJ72" s="212"/>
      <c r="AK72" s="212"/>
      <c r="AL72" s="212"/>
      <c r="AM72" s="212"/>
      <c r="AN72" s="212"/>
      <c r="AO72" s="212"/>
      <c r="AP72" s="196"/>
      <c r="AQ72" s="196"/>
      <c r="AR72" s="211"/>
      <c r="AS72" s="212"/>
      <c r="AT72" s="212"/>
      <c r="AU72" s="212"/>
      <c r="AW72" s="58"/>
      <c r="AX72" s="58"/>
      <c r="AY72" s="58"/>
      <c r="AZ72" s="58"/>
    </row>
    <row r="73" spans="1:52" s="185" customFormat="1" ht="15" customHeight="1" x14ac:dyDescent="0.25">
      <c r="A73" s="200"/>
      <c r="B73" s="211"/>
      <c r="C73" s="212">
        <f t="shared" si="2"/>
        <v>6.199999999999994</v>
      </c>
      <c r="D73" s="231">
        <f>15+[2]!STEPLOAD(5)</f>
        <v>20</v>
      </c>
      <c r="E73" s="212">
        <f t="shared" si="3"/>
        <v>41.362200313021923</v>
      </c>
      <c r="F73" s="212">
        <f t="shared" si="4"/>
        <v>0.5</v>
      </c>
      <c r="G73" s="212">
        <f>5</f>
        <v>5</v>
      </c>
      <c r="H73" s="212">
        <f>60</f>
        <v>60</v>
      </c>
      <c r="I73" s="212">
        <f t="shared" si="5"/>
        <v>0.9</v>
      </c>
      <c r="J73" s="212">
        <f>1</f>
        <v>1</v>
      </c>
      <c r="K73" s="212">
        <f t="shared" si="6"/>
        <v>4.1870000000000003</v>
      </c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196"/>
      <c r="AD73" s="27"/>
      <c r="AE73" s="213"/>
      <c r="AF73" s="212">
        <f t="shared" si="7"/>
        <v>0.44319243585806589</v>
      </c>
      <c r="AG73" s="212"/>
      <c r="AH73" s="212"/>
      <c r="AI73" s="212"/>
      <c r="AJ73" s="212"/>
      <c r="AK73" s="212"/>
      <c r="AL73" s="212"/>
      <c r="AM73" s="212"/>
      <c r="AN73" s="212"/>
      <c r="AO73" s="212"/>
      <c r="AP73" s="196"/>
      <c r="AQ73" s="196"/>
      <c r="AR73" s="211"/>
      <c r="AS73" s="212"/>
      <c r="AT73" s="212"/>
      <c r="AU73" s="212"/>
      <c r="AW73" s="58"/>
      <c r="AX73" s="58"/>
      <c r="AY73" s="58"/>
      <c r="AZ73" s="58"/>
    </row>
    <row r="74" spans="1:52" s="185" customFormat="1" ht="15" customHeight="1" x14ac:dyDescent="0.25">
      <c r="A74" s="200"/>
      <c r="B74" s="211"/>
      <c r="C74" s="212">
        <f t="shared" si="2"/>
        <v>6.2999999999999936</v>
      </c>
      <c r="D74" s="231">
        <f>15+[2]!STEPLOAD(5)</f>
        <v>20</v>
      </c>
      <c r="E74" s="212">
        <f t="shared" si="3"/>
        <v>41.406519556607726</v>
      </c>
      <c r="F74" s="212">
        <f t="shared" si="4"/>
        <v>0.5</v>
      </c>
      <c r="G74" s="212">
        <f>5</f>
        <v>5</v>
      </c>
      <c r="H74" s="212">
        <f>60</f>
        <v>60</v>
      </c>
      <c r="I74" s="212">
        <f t="shared" si="5"/>
        <v>0.9</v>
      </c>
      <c r="J74" s="212">
        <f>1</f>
        <v>1</v>
      </c>
      <c r="K74" s="212">
        <f t="shared" si="6"/>
        <v>4.1870000000000003</v>
      </c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196"/>
      <c r="AD74" s="27"/>
      <c r="AE74" s="213"/>
      <c r="AF74" s="212">
        <f t="shared" si="7"/>
        <v>0.43876051149948525</v>
      </c>
      <c r="AG74" s="212"/>
      <c r="AH74" s="212"/>
      <c r="AI74" s="212"/>
      <c r="AJ74" s="212"/>
      <c r="AK74" s="212"/>
      <c r="AL74" s="212"/>
      <c r="AM74" s="212"/>
      <c r="AN74" s="212"/>
      <c r="AO74" s="212"/>
      <c r="AP74" s="196"/>
      <c r="AQ74" s="196"/>
      <c r="AR74" s="211"/>
      <c r="AS74" s="212"/>
      <c r="AT74" s="212"/>
      <c r="AU74" s="212"/>
      <c r="AW74" s="58"/>
      <c r="AX74" s="58"/>
      <c r="AY74" s="58"/>
      <c r="AZ74" s="58"/>
    </row>
    <row r="75" spans="1:52" s="185" customFormat="1" ht="15" customHeight="1" x14ac:dyDescent="0.25">
      <c r="A75" s="200"/>
      <c r="B75" s="211"/>
      <c r="C75" s="212">
        <f t="shared" si="2"/>
        <v>6.3999999999999932</v>
      </c>
      <c r="D75" s="231">
        <f>15+[2]!STEPLOAD(5)</f>
        <v>20</v>
      </c>
      <c r="E75" s="212">
        <f t="shared" si="3"/>
        <v>41.450395607757677</v>
      </c>
      <c r="F75" s="212">
        <f t="shared" si="4"/>
        <v>0.5</v>
      </c>
      <c r="G75" s="212">
        <f>5</f>
        <v>5</v>
      </c>
      <c r="H75" s="212">
        <f>60</f>
        <v>60</v>
      </c>
      <c r="I75" s="212">
        <f t="shared" si="5"/>
        <v>0.9</v>
      </c>
      <c r="J75" s="212">
        <f>1</f>
        <v>1</v>
      </c>
      <c r="K75" s="212">
        <f t="shared" si="6"/>
        <v>4.1870000000000003</v>
      </c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196"/>
      <c r="AD75" s="27"/>
      <c r="AE75" s="213"/>
      <c r="AF75" s="212">
        <f t="shared" si="7"/>
        <v>0.43437290638449033</v>
      </c>
      <c r="AG75" s="212"/>
      <c r="AH75" s="212"/>
      <c r="AI75" s="212"/>
      <c r="AJ75" s="212"/>
      <c r="AK75" s="212"/>
      <c r="AL75" s="212"/>
      <c r="AM75" s="212"/>
      <c r="AN75" s="212"/>
      <c r="AO75" s="212"/>
      <c r="AP75" s="196"/>
      <c r="AQ75" s="196"/>
      <c r="AR75" s="211"/>
      <c r="AS75" s="212"/>
      <c r="AT75" s="212"/>
      <c r="AU75" s="212"/>
      <c r="AW75" s="58"/>
      <c r="AX75" s="58"/>
      <c r="AY75" s="58"/>
      <c r="AZ75" s="58"/>
    </row>
    <row r="76" spans="1:52" s="185" customFormat="1" ht="15" customHeight="1" x14ac:dyDescent="0.25">
      <c r="A76" s="200"/>
      <c r="B76" s="211"/>
      <c r="C76" s="212">
        <f t="shared" ref="C76:C139" si="8">C75+IntegrationStep</f>
        <v>6.4999999999999929</v>
      </c>
      <c r="D76" s="231">
        <f>15+[2]!STEPLOAD(5)</f>
        <v>20</v>
      </c>
      <c r="E76" s="212">
        <f t="shared" si="3"/>
        <v>41.493832898396128</v>
      </c>
      <c r="F76" s="212">
        <f t="shared" si="4"/>
        <v>0.5</v>
      </c>
      <c r="G76" s="212">
        <f>5</f>
        <v>5</v>
      </c>
      <c r="H76" s="212">
        <f>60</f>
        <v>60</v>
      </c>
      <c r="I76" s="212">
        <f t="shared" si="5"/>
        <v>0.9</v>
      </c>
      <c r="J76" s="212">
        <f>1</f>
        <v>1</v>
      </c>
      <c r="K76" s="212">
        <f t="shared" si="6"/>
        <v>4.1870000000000003</v>
      </c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196"/>
      <c r="AD76" s="27"/>
      <c r="AE76" s="213"/>
      <c r="AF76" s="212">
        <f t="shared" si="7"/>
        <v>0.43002917732064505</v>
      </c>
      <c r="AG76" s="212"/>
      <c r="AH76" s="212"/>
      <c r="AI76" s="212"/>
      <c r="AJ76" s="212"/>
      <c r="AK76" s="212"/>
      <c r="AL76" s="212"/>
      <c r="AM76" s="212"/>
      <c r="AN76" s="212"/>
      <c r="AO76" s="212"/>
      <c r="AP76" s="196"/>
      <c r="AQ76" s="196"/>
      <c r="AR76" s="211"/>
      <c r="AS76" s="212"/>
      <c r="AT76" s="212"/>
      <c r="AU76" s="212"/>
      <c r="AW76" s="58"/>
      <c r="AX76" s="58"/>
      <c r="AY76" s="58"/>
      <c r="AZ76" s="58"/>
    </row>
    <row r="77" spans="1:52" s="185" customFormat="1" ht="15" customHeight="1" x14ac:dyDescent="0.25">
      <c r="A77" s="200"/>
      <c r="B77" s="211"/>
      <c r="C77" s="212">
        <f t="shared" si="8"/>
        <v>6.5999999999999925</v>
      </c>
      <c r="D77" s="231">
        <f>15+[2]!STEPLOAD(5)</f>
        <v>20</v>
      </c>
      <c r="E77" s="212">
        <f t="shared" ref="E77:E140" si="9">E76+(C77-C76)*AF76</f>
        <v>41.536835816128196</v>
      </c>
      <c r="F77" s="212">
        <f t="shared" ref="F77:F140" si="10">0.5</f>
        <v>0.5</v>
      </c>
      <c r="G77" s="212">
        <f>5</f>
        <v>5</v>
      </c>
      <c r="H77" s="212">
        <f>60</f>
        <v>60</v>
      </c>
      <c r="I77" s="212">
        <f t="shared" ref="I77:I140" si="11">0.9</f>
        <v>0.9</v>
      </c>
      <c r="J77" s="212">
        <f>1</f>
        <v>1</v>
      </c>
      <c r="K77" s="212">
        <f t="shared" ref="K77:K140" si="12">4.187</f>
        <v>4.1870000000000003</v>
      </c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196"/>
      <c r="AD77" s="27"/>
      <c r="AE77" s="213"/>
      <c r="AF77" s="212">
        <f t="shared" ref="AF77:AF140" si="13">F77/G77*(D77-E77)+H77*I77/G77/J77/K77</f>
        <v>0.42572888554743837</v>
      </c>
      <c r="AG77" s="212"/>
      <c r="AH77" s="212"/>
      <c r="AI77" s="212"/>
      <c r="AJ77" s="212"/>
      <c r="AK77" s="212"/>
      <c r="AL77" s="212"/>
      <c r="AM77" s="212"/>
      <c r="AN77" s="212"/>
      <c r="AO77" s="212"/>
      <c r="AP77" s="196"/>
      <c r="AQ77" s="196"/>
      <c r="AR77" s="211"/>
      <c r="AS77" s="212"/>
      <c r="AT77" s="212"/>
      <c r="AU77" s="212"/>
      <c r="AW77" s="58"/>
      <c r="AX77" s="58"/>
      <c r="AY77" s="58"/>
      <c r="AZ77" s="58"/>
    </row>
    <row r="78" spans="1:52" s="185" customFormat="1" ht="15" customHeight="1" x14ac:dyDescent="0.25">
      <c r="A78" s="200"/>
      <c r="B78" s="211"/>
      <c r="C78" s="212">
        <f t="shared" si="8"/>
        <v>6.6999999999999922</v>
      </c>
      <c r="D78" s="231">
        <f>15+[2]!STEPLOAD(5)</f>
        <v>20</v>
      </c>
      <c r="E78" s="212">
        <f t="shared" si="9"/>
        <v>41.57940870468294</v>
      </c>
      <c r="F78" s="212">
        <f t="shared" si="10"/>
        <v>0.5</v>
      </c>
      <c r="G78" s="212">
        <f>5</f>
        <v>5</v>
      </c>
      <c r="H78" s="212">
        <f>60</f>
        <v>60</v>
      </c>
      <c r="I78" s="212">
        <f t="shared" si="11"/>
        <v>0.9</v>
      </c>
      <c r="J78" s="212">
        <f>1</f>
        <v>1</v>
      </c>
      <c r="K78" s="212">
        <f t="shared" si="12"/>
        <v>4.1870000000000003</v>
      </c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196"/>
      <c r="AD78" s="27"/>
      <c r="AE78" s="213"/>
      <c r="AF78" s="212">
        <f t="shared" si="13"/>
        <v>0.42147159669196377</v>
      </c>
      <c r="AG78" s="212"/>
      <c r="AH78" s="212"/>
      <c r="AI78" s="212"/>
      <c r="AJ78" s="212"/>
      <c r="AK78" s="212"/>
      <c r="AL78" s="212"/>
      <c r="AM78" s="212"/>
      <c r="AN78" s="212"/>
      <c r="AO78" s="212"/>
      <c r="AP78" s="196"/>
      <c r="AQ78" s="196"/>
      <c r="AR78" s="211"/>
      <c r="AS78" s="212"/>
      <c r="AT78" s="212"/>
      <c r="AU78" s="212"/>
      <c r="AW78" s="58"/>
      <c r="AX78" s="58"/>
      <c r="AY78" s="58"/>
      <c r="AZ78" s="58"/>
    </row>
    <row r="79" spans="1:52" s="185" customFormat="1" ht="15" customHeight="1" x14ac:dyDescent="0.25">
      <c r="A79" s="200"/>
      <c r="B79" s="211"/>
      <c r="C79" s="212">
        <f t="shared" si="8"/>
        <v>6.7999999999999918</v>
      </c>
      <c r="D79" s="231">
        <f>15+[2]!STEPLOAD(5)</f>
        <v>20</v>
      </c>
      <c r="E79" s="212">
        <f t="shared" si="9"/>
        <v>41.621555864352139</v>
      </c>
      <c r="F79" s="212">
        <f t="shared" si="10"/>
        <v>0.5</v>
      </c>
      <c r="G79" s="212">
        <f>5</f>
        <v>5</v>
      </c>
      <c r="H79" s="212">
        <f>60</f>
        <v>60</v>
      </c>
      <c r="I79" s="212">
        <f t="shared" si="11"/>
        <v>0.9</v>
      </c>
      <c r="J79" s="212">
        <f>1</f>
        <v>1</v>
      </c>
      <c r="K79" s="212">
        <f t="shared" si="12"/>
        <v>4.1870000000000003</v>
      </c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196"/>
      <c r="AD79" s="27"/>
      <c r="AE79" s="213"/>
      <c r="AF79" s="212">
        <f t="shared" si="13"/>
        <v>0.41725688072504408</v>
      </c>
      <c r="AG79" s="212"/>
      <c r="AH79" s="212"/>
      <c r="AI79" s="212"/>
      <c r="AJ79" s="212"/>
      <c r="AK79" s="212"/>
      <c r="AL79" s="212"/>
      <c r="AM79" s="212"/>
      <c r="AN79" s="212"/>
      <c r="AO79" s="212"/>
      <c r="AP79" s="196"/>
      <c r="AQ79" s="196"/>
      <c r="AR79" s="211"/>
      <c r="AS79" s="212"/>
      <c r="AT79" s="212"/>
      <c r="AU79" s="212"/>
      <c r="AW79" s="58"/>
      <c r="AX79" s="58"/>
      <c r="AY79" s="58"/>
      <c r="AZ79" s="58"/>
    </row>
    <row r="80" spans="1:52" s="185" customFormat="1" ht="15" customHeight="1" x14ac:dyDescent="0.25">
      <c r="A80" s="200"/>
      <c r="B80" s="211"/>
      <c r="C80" s="212">
        <f t="shared" si="8"/>
        <v>6.8999999999999915</v>
      </c>
      <c r="D80" s="231">
        <f>15+[2]!STEPLOAD(5)</f>
        <v>20</v>
      </c>
      <c r="E80" s="212">
        <f t="shared" si="9"/>
        <v>41.663281552424642</v>
      </c>
      <c r="F80" s="212">
        <f t="shared" si="10"/>
        <v>0.5</v>
      </c>
      <c r="G80" s="212">
        <f>5</f>
        <v>5</v>
      </c>
      <c r="H80" s="212">
        <f>60</f>
        <v>60</v>
      </c>
      <c r="I80" s="212">
        <f t="shared" si="11"/>
        <v>0.9</v>
      </c>
      <c r="J80" s="212">
        <f>1</f>
        <v>1</v>
      </c>
      <c r="K80" s="212">
        <f t="shared" si="12"/>
        <v>4.1870000000000003</v>
      </c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196"/>
      <c r="AD80" s="27"/>
      <c r="AE80" s="213"/>
      <c r="AF80" s="212">
        <f t="shared" si="13"/>
        <v>0.41308431191779382</v>
      </c>
      <c r="AG80" s="212"/>
      <c r="AH80" s="212"/>
      <c r="AI80" s="212"/>
      <c r="AJ80" s="212"/>
      <c r="AK80" s="212"/>
      <c r="AL80" s="212"/>
      <c r="AM80" s="212"/>
      <c r="AN80" s="212"/>
      <c r="AO80" s="212"/>
      <c r="AP80" s="196"/>
      <c r="AQ80" s="196"/>
      <c r="AR80" s="211"/>
      <c r="AS80" s="212"/>
      <c r="AT80" s="212"/>
      <c r="AU80" s="212"/>
      <c r="AW80" s="58"/>
      <c r="AX80" s="58"/>
      <c r="AY80" s="58"/>
      <c r="AZ80" s="58"/>
    </row>
    <row r="81" spans="1:52" s="185" customFormat="1" ht="15" customHeight="1" x14ac:dyDescent="0.25">
      <c r="A81" s="200"/>
      <c r="B81" s="211"/>
      <c r="C81" s="212">
        <f t="shared" si="8"/>
        <v>6.9999999999999911</v>
      </c>
      <c r="D81" s="231">
        <f>15+[2]!STEPLOAD(5)</f>
        <v>20</v>
      </c>
      <c r="E81" s="212">
        <f t="shared" si="9"/>
        <v>41.704589983616422</v>
      </c>
      <c r="F81" s="212">
        <f t="shared" si="10"/>
        <v>0.5</v>
      </c>
      <c r="G81" s="212">
        <f>5</f>
        <v>5</v>
      </c>
      <c r="H81" s="212">
        <f>60</f>
        <v>60</v>
      </c>
      <c r="I81" s="212">
        <f t="shared" si="11"/>
        <v>0.9</v>
      </c>
      <c r="J81" s="212">
        <f>1</f>
        <v>1</v>
      </c>
      <c r="K81" s="212">
        <f t="shared" si="12"/>
        <v>4.1870000000000003</v>
      </c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196"/>
      <c r="AD81" s="27"/>
      <c r="AE81" s="213"/>
      <c r="AF81" s="212">
        <f t="shared" si="13"/>
        <v>0.40895346879861583</v>
      </c>
      <c r="AG81" s="212"/>
      <c r="AH81" s="212"/>
      <c r="AI81" s="212"/>
      <c r="AJ81" s="212"/>
      <c r="AK81" s="212"/>
      <c r="AL81" s="212"/>
      <c r="AM81" s="212"/>
      <c r="AN81" s="212"/>
      <c r="AO81" s="212"/>
      <c r="AP81" s="196"/>
      <c r="AQ81" s="196"/>
      <c r="AR81" s="211"/>
      <c r="AS81" s="212"/>
      <c r="AT81" s="212"/>
      <c r="AU81" s="212"/>
      <c r="AW81" s="58"/>
      <c r="AX81" s="58"/>
      <c r="AY81" s="58"/>
      <c r="AZ81" s="58"/>
    </row>
    <row r="82" spans="1:52" s="185" customFormat="1" ht="15" customHeight="1" x14ac:dyDescent="0.25">
      <c r="A82" s="200"/>
      <c r="B82" s="211"/>
      <c r="C82" s="212">
        <f t="shared" si="8"/>
        <v>7.0999999999999908</v>
      </c>
      <c r="D82" s="231">
        <f>15+[2]!STEPLOAD(5)</f>
        <v>20</v>
      </c>
      <c r="E82" s="212">
        <f t="shared" si="9"/>
        <v>41.745485330496287</v>
      </c>
      <c r="F82" s="212">
        <f t="shared" si="10"/>
        <v>0.5</v>
      </c>
      <c r="G82" s="212">
        <f>5</f>
        <v>5</v>
      </c>
      <c r="H82" s="212">
        <f>60</f>
        <v>60</v>
      </c>
      <c r="I82" s="212">
        <f t="shared" si="11"/>
        <v>0.9</v>
      </c>
      <c r="J82" s="212">
        <f>1</f>
        <v>1</v>
      </c>
      <c r="K82" s="212">
        <f t="shared" si="12"/>
        <v>4.1870000000000003</v>
      </c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196"/>
      <c r="AD82" s="27"/>
      <c r="AE82" s="213"/>
      <c r="AF82" s="212">
        <f t="shared" si="13"/>
        <v>0.40486393411062949</v>
      </c>
      <c r="AG82" s="212"/>
      <c r="AH82" s="212"/>
      <c r="AI82" s="212"/>
      <c r="AJ82" s="212"/>
      <c r="AK82" s="212"/>
      <c r="AL82" s="212"/>
      <c r="AM82" s="212"/>
      <c r="AN82" s="212"/>
      <c r="AO82" s="212"/>
      <c r="AP82" s="196"/>
      <c r="AQ82" s="196"/>
      <c r="AR82" s="211"/>
      <c r="AS82" s="212"/>
      <c r="AT82" s="212"/>
      <c r="AU82" s="212"/>
      <c r="AW82" s="58"/>
      <c r="AX82" s="58"/>
      <c r="AY82" s="58"/>
      <c r="AZ82" s="58"/>
    </row>
    <row r="83" spans="1:52" s="185" customFormat="1" ht="15" customHeight="1" x14ac:dyDescent="0.25">
      <c r="A83" s="200"/>
      <c r="B83" s="211"/>
      <c r="C83" s="212">
        <f t="shared" si="8"/>
        <v>7.1999999999999904</v>
      </c>
      <c r="D83" s="231">
        <f>15+[2]!STEPLOAD(5)</f>
        <v>20</v>
      </c>
      <c r="E83" s="212">
        <f t="shared" si="9"/>
        <v>41.785971723907352</v>
      </c>
      <c r="F83" s="212">
        <f t="shared" si="10"/>
        <v>0.5</v>
      </c>
      <c r="G83" s="212">
        <f>5</f>
        <v>5</v>
      </c>
      <c r="H83" s="212">
        <f>60</f>
        <v>60</v>
      </c>
      <c r="I83" s="212">
        <f t="shared" si="11"/>
        <v>0.9</v>
      </c>
      <c r="J83" s="212">
        <f>1</f>
        <v>1</v>
      </c>
      <c r="K83" s="212">
        <f t="shared" si="12"/>
        <v>4.1870000000000003</v>
      </c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196"/>
      <c r="AD83" s="27"/>
      <c r="AE83" s="213"/>
      <c r="AF83" s="212">
        <f t="shared" si="13"/>
        <v>0.40081529476952271</v>
      </c>
      <c r="AG83" s="212"/>
      <c r="AH83" s="212"/>
      <c r="AI83" s="212"/>
      <c r="AJ83" s="212"/>
      <c r="AK83" s="212"/>
      <c r="AL83" s="212"/>
      <c r="AM83" s="212"/>
      <c r="AN83" s="212"/>
      <c r="AO83" s="212"/>
      <c r="AP83" s="196"/>
      <c r="AQ83" s="196"/>
      <c r="AR83" s="211"/>
      <c r="AS83" s="212"/>
      <c r="AT83" s="212"/>
      <c r="AU83" s="212"/>
      <c r="AW83" s="58"/>
      <c r="AX83" s="58"/>
      <c r="AY83" s="58"/>
      <c r="AZ83" s="58"/>
    </row>
    <row r="84" spans="1:52" s="185" customFormat="1" ht="15" customHeight="1" x14ac:dyDescent="0.25">
      <c r="A84" s="200"/>
      <c r="B84" s="211"/>
      <c r="C84" s="212">
        <f t="shared" si="8"/>
        <v>7.2999999999999901</v>
      </c>
      <c r="D84" s="231">
        <f>15+[2]!STEPLOAD(5)</f>
        <v>20</v>
      </c>
      <c r="E84" s="212">
        <f t="shared" si="9"/>
        <v>41.826053253384302</v>
      </c>
      <c r="F84" s="212">
        <f t="shared" si="10"/>
        <v>0.5</v>
      </c>
      <c r="G84" s="212">
        <f>5</f>
        <v>5</v>
      </c>
      <c r="H84" s="212">
        <f>60</f>
        <v>60</v>
      </c>
      <c r="I84" s="212">
        <f t="shared" si="11"/>
        <v>0.9</v>
      </c>
      <c r="J84" s="212">
        <f>1</f>
        <v>1</v>
      </c>
      <c r="K84" s="212">
        <f t="shared" si="12"/>
        <v>4.1870000000000003</v>
      </c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196"/>
      <c r="AD84" s="27"/>
      <c r="AE84" s="213"/>
      <c r="AF84" s="212">
        <f t="shared" si="13"/>
        <v>0.39680714182182797</v>
      </c>
      <c r="AG84" s="212"/>
      <c r="AH84" s="212"/>
      <c r="AI84" s="212"/>
      <c r="AJ84" s="212"/>
      <c r="AK84" s="212"/>
      <c r="AL84" s="212"/>
      <c r="AM84" s="212"/>
      <c r="AN84" s="212"/>
      <c r="AO84" s="212"/>
      <c r="AP84" s="196"/>
      <c r="AQ84" s="196"/>
      <c r="AR84" s="211"/>
      <c r="AS84" s="212"/>
      <c r="AT84" s="212"/>
      <c r="AU84" s="212"/>
      <c r="AW84" s="58"/>
      <c r="AX84" s="58"/>
      <c r="AY84" s="58"/>
      <c r="AZ84" s="58"/>
    </row>
    <row r="85" spans="1:52" s="185" customFormat="1" ht="15" customHeight="1" x14ac:dyDescent="0.25">
      <c r="A85" s="200"/>
      <c r="B85" s="211"/>
      <c r="C85" s="212">
        <f t="shared" si="8"/>
        <v>7.3999999999999897</v>
      </c>
      <c r="D85" s="231">
        <f>15+[2]!STEPLOAD(5)</f>
        <v>20</v>
      </c>
      <c r="E85" s="212">
        <f t="shared" si="9"/>
        <v>41.865733967566484</v>
      </c>
      <c r="F85" s="212">
        <f t="shared" si="10"/>
        <v>0.5</v>
      </c>
      <c r="G85" s="212">
        <f>5</f>
        <v>5</v>
      </c>
      <c r="H85" s="212">
        <f>60</f>
        <v>60</v>
      </c>
      <c r="I85" s="212">
        <f t="shared" si="11"/>
        <v>0.9</v>
      </c>
      <c r="J85" s="212">
        <f>1</f>
        <v>1</v>
      </c>
      <c r="K85" s="212">
        <f t="shared" si="12"/>
        <v>4.1870000000000003</v>
      </c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196"/>
      <c r="AD85" s="27"/>
      <c r="AE85" s="213"/>
      <c r="AF85" s="212">
        <f t="shared" si="13"/>
        <v>0.39283907040360955</v>
      </c>
      <c r="AG85" s="212"/>
      <c r="AH85" s="212"/>
      <c r="AI85" s="212"/>
      <c r="AJ85" s="212"/>
      <c r="AK85" s="212"/>
      <c r="AL85" s="212"/>
      <c r="AM85" s="212"/>
      <c r="AN85" s="212"/>
      <c r="AO85" s="212"/>
      <c r="AP85" s="196"/>
      <c r="AQ85" s="196"/>
      <c r="AR85" s="211"/>
      <c r="AS85" s="212"/>
      <c r="AT85" s="212"/>
      <c r="AU85" s="212"/>
      <c r="AW85" s="58"/>
      <c r="AX85" s="58"/>
      <c r="AY85" s="58"/>
      <c r="AZ85" s="58"/>
    </row>
    <row r="86" spans="1:52" s="185" customFormat="1" ht="15" customHeight="1" x14ac:dyDescent="0.25">
      <c r="A86" s="200"/>
      <c r="B86" s="211"/>
      <c r="C86" s="212">
        <f t="shared" si="8"/>
        <v>7.4999999999999893</v>
      </c>
      <c r="D86" s="231">
        <f>15+[2]!STEPLOAD(5)</f>
        <v>20</v>
      </c>
      <c r="E86" s="212">
        <f t="shared" si="9"/>
        <v>41.905017874606848</v>
      </c>
      <c r="F86" s="212">
        <f t="shared" si="10"/>
        <v>0.5</v>
      </c>
      <c r="G86" s="212">
        <f>5</f>
        <v>5</v>
      </c>
      <c r="H86" s="212">
        <f>60</f>
        <v>60</v>
      </c>
      <c r="I86" s="212">
        <f t="shared" si="11"/>
        <v>0.9</v>
      </c>
      <c r="J86" s="212">
        <f>1</f>
        <v>1</v>
      </c>
      <c r="K86" s="212">
        <f t="shared" si="12"/>
        <v>4.1870000000000003</v>
      </c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  <c r="AA86" s="212"/>
      <c r="AB86" s="212"/>
      <c r="AC86" s="196"/>
      <c r="AD86" s="27"/>
      <c r="AE86" s="213"/>
      <c r="AF86" s="212">
        <f t="shared" si="13"/>
        <v>0.38891067969957316</v>
      </c>
      <c r="AG86" s="212"/>
      <c r="AH86" s="212"/>
      <c r="AI86" s="212"/>
      <c r="AJ86" s="212"/>
      <c r="AK86" s="212"/>
      <c r="AL86" s="212"/>
      <c r="AM86" s="212"/>
      <c r="AN86" s="212"/>
      <c r="AO86" s="212"/>
      <c r="AP86" s="196"/>
      <c r="AQ86" s="196"/>
      <c r="AR86" s="211"/>
      <c r="AS86" s="212"/>
      <c r="AT86" s="212"/>
      <c r="AU86" s="212"/>
      <c r="AW86" s="58"/>
      <c r="AX86" s="58"/>
      <c r="AY86" s="58"/>
      <c r="AZ86" s="58"/>
    </row>
    <row r="87" spans="1:52" s="185" customFormat="1" ht="15" customHeight="1" x14ac:dyDescent="0.25">
      <c r="A87" s="200"/>
      <c r="B87" s="211"/>
      <c r="C87" s="212">
        <f t="shared" si="8"/>
        <v>7.599999999999989</v>
      </c>
      <c r="D87" s="231">
        <f>15+[2]!STEPLOAD(5)</f>
        <v>20</v>
      </c>
      <c r="E87" s="212">
        <f t="shared" si="9"/>
        <v>41.943908942576805</v>
      </c>
      <c r="F87" s="212">
        <f t="shared" si="10"/>
        <v>0.5</v>
      </c>
      <c r="G87" s="212">
        <f>5</f>
        <v>5</v>
      </c>
      <c r="H87" s="212">
        <f>60</f>
        <v>60</v>
      </c>
      <c r="I87" s="212">
        <f t="shared" si="11"/>
        <v>0.9</v>
      </c>
      <c r="J87" s="212">
        <f>1</f>
        <v>1</v>
      </c>
      <c r="K87" s="212">
        <f t="shared" si="12"/>
        <v>4.1870000000000003</v>
      </c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  <c r="AA87" s="212"/>
      <c r="AB87" s="212"/>
      <c r="AC87" s="196"/>
      <c r="AD87" s="27"/>
      <c r="AE87" s="213"/>
      <c r="AF87" s="212">
        <f t="shared" si="13"/>
        <v>0.38502157290257744</v>
      </c>
      <c r="AG87" s="212"/>
      <c r="AH87" s="212"/>
      <c r="AI87" s="212"/>
      <c r="AJ87" s="212"/>
      <c r="AK87" s="212"/>
      <c r="AL87" s="212"/>
      <c r="AM87" s="212"/>
      <c r="AN87" s="212"/>
      <c r="AO87" s="212"/>
      <c r="AP87" s="196"/>
      <c r="AQ87" s="196"/>
      <c r="AR87" s="211"/>
      <c r="AS87" s="212"/>
      <c r="AT87" s="212"/>
      <c r="AU87" s="212"/>
      <c r="AW87" s="58"/>
      <c r="AX87" s="58"/>
      <c r="AY87" s="58"/>
      <c r="AZ87" s="58"/>
    </row>
    <row r="88" spans="1:52" s="185" customFormat="1" ht="15" customHeight="1" x14ac:dyDescent="0.25">
      <c r="A88" s="200"/>
      <c r="B88" s="211"/>
      <c r="C88" s="212">
        <f t="shared" si="8"/>
        <v>7.6999999999999886</v>
      </c>
      <c r="D88" s="231">
        <f>15+[2]!STEPLOAD(5)</f>
        <v>20</v>
      </c>
      <c r="E88" s="212">
        <f t="shared" si="9"/>
        <v>41.982411099867065</v>
      </c>
      <c r="F88" s="212">
        <f t="shared" si="10"/>
        <v>0.5</v>
      </c>
      <c r="G88" s="212">
        <f>5</f>
        <v>5</v>
      </c>
      <c r="H88" s="212">
        <f>60</f>
        <v>60</v>
      </c>
      <c r="I88" s="212">
        <f t="shared" si="11"/>
        <v>0.9</v>
      </c>
      <c r="J88" s="212">
        <f>1</f>
        <v>1</v>
      </c>
      <c r="K88" s="212">
        <f t="shared" si="12"/>
        <v>4.1870000000000003</v>
      </c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  <c r="AA88" s="212"/>
      <c r="AB88" s="212"/>
      <c r="AC88" s="196"/>
      <c r="AD88" s="27"/>
      <c r="AE88" s="213"/>
      <c r="AF88" s="212">
        <f t="shared" si="13"/>
        <v>0.38117135717355133</v>
      </c>
      <c r="AG88" s="212"/>
      <c r="AH88" s="212"/>
      <c r="AI88" s="212"/>
      <c r="AJ88" s="212"/>
      <c r="AK88" s="212"/>
      <c r="AL88" s="212"/>
      <c r="AM88" s="212"/>
      <c r="AN88" s="212"/>
      <c r="AO88" s="212"/>
      <c r="AP88" s="196"/>
      <c r="AQ88" s="196"/>
      <c r="AR88" s="211"/>
      <c r="AS88" s="212"/>
      <c r="AT88" s="212"/>
      <c r="AU88" s="212"/>
      <c r="AW88" s="58"/>
      <c r="AX88" s="58"/>
      <c r="AY88" s="58"/>
      <c r="AZ88" s="58"/>
    </row>
    <row r="89" spans="1:52" s="185" customFormat="1" ht="15" customHeight="1" x14ac:dyDescent="0.25">
      <c r="A89" s="200"/>
      <c r="B89" s="211"/>
      <c r="C89" s="212">
        <f t="shared" si="8"/>
        <v>7.7999999999999883</v>
      </c>
      <c r="D89" s="231">
        <f>15+[2]!STEPLOAD(5)</f>
        <v>20</v>
      </c>
      <c r="E89" s="212">
        <f t="shared" si="9"/>
        <v>42.020528235584422</v>
      </c>
      <c r="F89" s="212">
        <f t="shared" si="10"/>
        <v>0.5</v>
      </c>
      <c r="G89" s="212">
        <f>5</f>
        <v>5</v>
      </c>
      <c r="H89" s="212">
        <f>60</f>
        <v>60</v>
      </c>
      <c r="I89" s="212">
        <f t="shared" si="11"/>
        <v>0.9</v>
      </c>
      <c r="J89" s="212">
        <f>1</f>
        <v>1</v>
      </c>
      <c r="K89" s="212">
        <f t="shared" si="12"/>
        <v>4.1870000000000003</v>
      </c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196"/>
      <c r="AD89" s="27"/>
      <c r="AE89" s="213"/>
      <c r="AF89" s="212">
        <f t="shared" si="13"/>
        <v>0.37735964360181562</v>
      </c>
      <c r="AG89" s="212"/>
      <c r="AH89" s="212"/>
      <c r="AI89" s="212"/>
      <c r="AJ89" s="212"/>
      <c r="AK89" s="212"/>
      <c r="AL89" s="212"/>
      <c r="AM89" s="212"/>
      <c r="AN89" s="212"/>
      <c r="AO89" s="212"/>
      <c r="AP89" s="196"/>
      <c r="AQ89" s="196"/>
      <c r="AR89" s="211"/>
      <c r="AS89" s="212"/>
      <c r="AT89" s="212"/>
      <c r="AU89" s="212"/>
      <c r="AW89" s="58"/>
      <c r="AX89" s="58"/>
      <c r="AY89" s="58"/>
      <c r="AZ89" s="58"/>
    </row>
    <row r="90" spans="1:52" s="185" customFormat="1" ht="15" customHeight="1" x14ac:dyDescent="0.25">
      <c r="A90" s="200"/>
      <c r="B90" s="211"/>
      <c r="C90" s="212">
        <f t="shared" si="8"/>
        <v>7.8999999999999879</v>
      </c>
      <c r="D90" s="231">
        <f>15+[2]!STEPLOAD(5)</f>
        <v>20</v>
      </c>
      <c r="E90" s="212">
        <f t="shared" si="9"/>
        <v>42.058264199944603</v>
      </c>
      <c r="F90" s="212">
        <f t="shared" si="10"/>
        <v>0.5</v>
      </c>
      <c r="G90" s="212">
        <f>5</f>
        <v>5</v>
      </c>
      <c r="H90" s="212">
        <f>60</f>
        <v>60</v>
      </c>
      <c r="I90" s="212">
        <f t="shared" si="11"/>
        <v>0.9</v>
      </c>
      <c r="J90" s="212">
        <f>1</f>
        <v>1</v>
      </c>
      <c r="K90" s="212">
        <f t="shared" si="12"/>
        <v>4.1870000000000003</v>
      </c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196"/>
      <c r="AD90" s="27"/>
      <c r="AE90" s="213"/>
      <c r="AF90" s="212">
        <f t="shared" si="13"/>
        <v>0.37358604716579791</v>
      </c>
      <c r="AG90" s="212"/>
      <c r="AH90" s="212"/>
      <c r="AI90" s="212"/>
      <c r="AJ90" s="212"/>
      <c r="AK90" s="212"/>
      <c r="AL90" s="212"/>
      <c r="AM90" s="212"/>
      <c r="AN90" s="212"/>
      <c r="AO90" s="212"/>
      <c r="AP90" s="196"/>
      <c r="AQ90" s="196"/>
      <c r="AR90" s="211"/>
      <c r="AS90" s="212"/>
      <c r="AT90" s="212"/>
      <c r="AU90" s="212"/>
      <c r="AW90" s="58"/>
      <c r="AX90" s="58"/>
      <c r="AY90" s="58"/>
      <c r="AZ90" s="58"/>
    </row>
    <row r="91" spans="1:52" s="185" customFormat="1" ht="15" customHeight="1" x14ac:dyDescent="0.25">
      <c r="A91" s="200"/>
      <c r="B91" s="211"/>
      <c r="C91" s="212">
        <f t="shared" si="8"/>
        <v>7.9999999999999876</v>
      </c>
      <c r="D91" s="231">
        <f>15+[2]!STEPLOAD(5)</f>
        <v>20</v>
      </c>
      <c r="E91" s="212">
        <f t="shared" si="9"/>
        <v>42.095622804661183</v>
      </c>
      <c r="F91" s="212">
        <f t="shared" si="10"/>
        <v>0.5</v>
      </c>
      <c r="G91" s="212">
        <f>5</f>
        <v>5</v>
      </c>
      <c r="H91" s="212">
        <f>60</f>
        <v>60</v>
      </c>
      <c r="I91" s="212">
        <f t="shared" si="11"/>
        <v>0.9</v>
      </c>
      <c r="J91" s="212">
        <f>1</f>
        <v>1</v>
      </c>
      <c r="K91" s="212">
        <f t="shared" si="12"/>
        <v>4.1870000000000003</v>
      </c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196"/>
      <c r="AD91" s="27"/>
      <c r="AE91" s="213"/>
      <c r="AF91" s="212">
        <f t="shared" si="13"/>
        <v>0.36985018669413972</v>
      </c>
      <c r="AG91" s="212"/>
      <c r="AH91" s="212"/>
      <c r="AI91" s="212"/>
      <c r="AJ91" s="212"/>
      <c r="AK91" s="212"/>
      <c r="AL91" s="212"/>
      <c r="AM91" s="212"/>
      <c r="AN91" s="212"/>
      <c r="AO91" s="212"/>
      <c r="AP91" s="196"/>
      <c r="AQ91" s="196"/>
      <c r="AR91" s="211"/>
      <c r="AS91" s="212"/>
      <c r="AT91" s="212"/>
      <c r="AU91" s="212"/>
      <c r="AW91" s="58"/>
      <c r="AX91" s="58"/>
      <c r="AY91" s="58"/>
      <c r="AZ91" s="58"/>
    </row>
    <row r="92" spans="1:52" s="185" customFormat="1" ht="15" customHeight="1" x14ac:dyDescent="0.25">
      <c r="A92" s="200"/>
      <c r="B92" s="211"/>
      <c r="C92" s="212">
        <f t="shared" si="8"/>
        <v>8.0999999999999872</v>
      </c>
      <c r="D92" s="231">
        <f>15+[2]!STEPLOAD(5)</f>
        <v>20</v>
      </c>
      <c r="E92" s="212">
        <f t="shared" si="9"/>
        <v>42.132607823330595</v>
      </c>
      <c r="F92" s="212">
        <f t="shared" si="10"/>
        <v>0.5</v>
      </c>
      <c r="G92" s="212">
        <f>5</f>
        <v>5</v>
      </c>
      <c r="H92" s="212">
        <f>60</f>
        <v>60</v>
      </c>
      <c r="I92" s="212">
        <f t="shared" si="11"/>
        <v>0.9</v>
      </c>
      <c r="J92" s="212">
        <f>1</f>
        <v>1</v>
      </c>
      <c r="K92" s="212">
        <f t="shared" si="12"/>
        <v>4.1870000000000003</v>
      </c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196"/>
      <c r="AD92" s="27"/>
      <c r="AE92" s="213"/>
      <c r="AF92" s="212">
        <f t="shared" si="13"/>
        <v>0.3661516848271984</v>
      </c>
      <c r="AG92" s="212"/>
      <c r="AH92" s="212"/>
      <c r="AI92" s="212"/>
      <c r="AJ92" s="212"/>
      <c r="AK92" s="212"/>
      <c r="AL92" s="212"/>
      <c r="AM92" s="212"/>
      <c r="AN92" s="212"/>
      <c r="AO92" s="212"/>
      <c r="AP92" s="196"/>
      <c r="AQ92" s="196"/>
      <c r="AR92" s="211"/>
      <c r="AS92" s="212"/>
      <c r="AT92" s="212"/>
      <c r="AU92" s="212"/>
      <c r="AW92" s="58"/>
      <c r="AX92" s="58"/>
      <c r="AY92" s="58"/>
      <c r="AZ92" s="58"/>
    </row>
    <row r="93" spans="1:52" s="185" customFormat="1" ht="15" customHeight="1" x14ac:dyDescent="0.25">
      <c r="A93" s="200"/>
      <c r="B93" s="211"/>
      <c r="C93" s="212">
        <f t="shared" si="8"/>
        <v>8.1999999999999869</v>
      </c>
      <c r="D93" s="231">
        <f>15+[2]!STEPLOAD(5)</f>
        <v>20</v>
      </c>
      <c r="E93" s="212">
        <f t="shared" si="9"/>
        <v>42.169222991813314</v>
      </c>
      <c r="F93" s="212">
        <f t="shared" si="10"/>
        <v>0.5</v>
      </c>
      <c r="G93" s="212">
        <f>5</f>
        <v>5</v>
      </c>
      <c r="H93" s="212">
        <f>60</f>
        <v>60</v>
      </c>
      <c r="I93" s="212">
        <f t="shared" si="11"/>
        <v>0.9</v>
      </c>
      <c r="J93" s="212">
        <f>1</f>
        <v>1</v>
      </c>
      <c r="K93" s="212">
        <f t="shared" si="12"/>
        <v>4.1870000000000003</v>
      </c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196"/>
      <c r="AD93" s="27"/>
      <c r="AE93" s="213"/>
      <c r="AF93" s="212">
        <f t="shared" si="13"/>
        <v>0.36249016797892653</v>
      </c>
      <c r="AG93" s="212"/>
      <c r="AH93" s="212"/>
      <c r="AI93" s="212"/>
      <c r="AJ93" s="212"/>
      <c r="AK93" s="212"/>
      <c r="AL93" s="212"/>
      <c r="AM93" s="212"/>
      <c r="AN93" s="212"/>
      <c r="AO93" s="212"/>
      <c r="AP93" s="196"/>
      <c r="AQ93" s="196"/>
      <c r="AR93" s="211"/>
      <c r="AS93" s="212"/>
      <c r="AT93" s="212"/>
      <c r="AU93" s="212"/>
      <c r="AW93" s="58"/>
      <c r="AX93" s="58"/>
      <c r="AY93" s="58"/>
      <c r="AZ93" s="58"/>
    </row>
    <row r="94" spans="1:52" s="185" customFormat="1" ht="15" customHeight="1" x14ac:dyDescent="0.25">
      <c r="A94" s="200"/>
      <c r="B94" s="211"/>
      <c r="C94" s="212">
        <f t="shared" si="8"/>
        <v>8.2999999999999865</v>
      </c>
      <c r="D94" s="231">
        <f>15+[2]!STEPLOAD(5)</f>
        <v>20</v>
      </c>
      <c r="E94" s="212">
        <f t="shared" si="9"/>
        <v>42.205472008611203</v>
      </c>
      <c r="F94" s="212">
        <f t="shared" si="10"/>
        <v>0.5</v>
      </c>
      <c r="G94" s="212">
        <f>5</f>
        <v>5</v>
      </c>
      <c r="H94" s="212">
        <f>60</f>
        <v>60</v>
      </c>
      <c r="I94" s="212">
        <f t="shared" si="11"/>
        <v>0.9</v>
      </c>
      <c r="J94" s="212">
        <f>1</f>
        <v>1</v>
      </c>
      <c r="K94" s="212">
        <f t="shared" si="12"/>
        <v>4.1870000000000003</v>
      </c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196"/>
      <c r="AD94" s="27"/>
      <c r="AE94" s="213"/>
      <c r="AF94" s="212">
        <f t="shared" si="13"/>
        <v>0.35886526629913762</v>
      </c>
      <c r="AG94" s="212"/>
      <c r="AH94" s="212"/>
      <c r="AI94" s="212"/>
      <c r="AJ94" s="212"/>
      <c r="AK94" s="212"/>
      <c r="AL94" s="212"/>
      <c r="AM94" s="212"/>
      <c r="AN94" s="212"/>
      <c r="AO94" s="212"/>
      <c r="AP94" s="196"/>
      <c r="AQ94" s="196"/>
      <c r="AR94" s="211"/>
      <c r="AS94" s="212"/>
      <c r="AT94" s="212"/>
      <c r="AU94" s="212"/>
      <c r="AW94" s="58"/>
      <c r="AX94" s="58"/>
      <c r="AY94" s="58"/>
      <c r="AZ94" s="58"/>
    </row>
    <row r="95" spans="1:52" s="185" customFormat="1" ht="15" customHeight="1" x14ac:dyDescent="0.25">
      <c r="A95" s="200"/>
      <c r="B95" s="211"/>
      <c r="C95" s="212">
        <f t="shared" si="8"/>
        <v>8.3999999999999861</v>
      </c>
      <c r="D95" s="231">
        <f>15+[2]!STEPLOAD(5)</f>
        <v>20</v>
      </c>
      <c r="E95" s="212">
        <f t="shared" si="9"/>
        <v>42.241358535241119</v>
      </c>
      <c r="F95" s="212">
        <f t="shared" si="10"/>
        <v>0.5</v>
      </c>
      <c r="G95" s="212">
        <f>5</f>
        <v>5</v>
      </c>
      <c r="H95" s="212">
        <f>60</f>
        <v>60</v>
      </c>
      <c r="I95" s="212">
        <f t="shared" si="11"/>
        <v>0.9</v>
      </c>
      <c r="J95" s="212">
        <f>1</f>
        <v>1</v>
      </c>
      <c r="K95" s="212">
        <f t="shared" si="12"/>
        <v>4.1870000000000003</v>
      </c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196"/>
      <c r="AD95" s="27"/>
      <c r="AE95" s="213"/>
      <c r="AF95" s="212">
        <f t="shared" si="13"/>
        <v>0.35527661363614627</v>
      </c>
      <c r="AG95" s="212"/>
      <c r="AH95" s="212"/>
      <c r="AI95" s="212"/>
      <c r="AJ95" s="212"/>
      <c r="AK95" s="212"/>
      <c r="AL95" s="212"/>
      <c r="AM95" s="212"/>
      <c r="AN95" s="212"/>
      <c r="AO95" s="212"/>
      <c r="AP95" s="196"/>
      <c r="AQ95" s="196"/>
      <c r="AR95" s="211"/>
      <c r="AS95" s="212"/>
      <c r="AT95" s="212"/>
      <c r="AU95" s="212"/>
      <c r="AW95" s="58"/>
      <c r="AX95" s="58"/>
      <c r="AY95" s="58"/>
      <c r="AZ95" s="58"/>
    </row>
    <row r="96" spans="1:52" s="185" customFormat="1" ht="15" customHeight="1" x14ac:dyDescent="0.25">
      <c r="A96" s="200"/>
      <c r="B96" s="211"/>
      <c r="C96" s="212">
        <f t="shared" si="8"/>
        <v>8.4999999999999858</v>
      </c>
      <c r="D96" s="231">
        <f>15+[2]!STEPLOAD(5)</f>
        <v>20</v>
      </c>
      <c r="E96" s="212">
        <f t="shared" si="9"/>
        <v>42.276886196604735</v>
      </c>
      <c r="F96" s="212">
        <f t="shared" si="10"/>
        <v>0.5</v>
      </c>
      <c r="G96" s="212">
        <f>5</f>
        <v>5</v>
      </c>
      <c r="H96" s="212">
        <f>60</f>
        <v>60</v>
      </c>
      <c r="I96" s="212">
        <f t="shared" si="11"/>
        <v>0.9</v>
      </c>
      <c r="J96" s="212">
        <f>1</f>
        <v>1</v>
      </c>
      <c r="K96" s="212">
        <f t="shared" si="12"/>
        <v>4.1870000000000003</v>
      </c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196"/>
      <c r="AD96" s="27"/>
      <c r="AE96" s="213"/>
      <c r="AF96" s="212">
        <f t="shared" si="13"/>
        <v>0.35172384749978436</v>
      </c>
      <c r="AG96" s="212"/>
      <c r="AH96" s="212"/>
      <c r="AI96" s="212"/>
      <c r="AJ96" s="212"/>
      <c r="AK96" s="212"/>
      <c r="AL96" s="212"/>
      <c r="AM96" s="212"/>
      <c r="AN96" s="212"/>
      <c r="AO96" s="212"/>
      <c r="AP96" s="196"/>
      <c r="AQ96" s="196"/>
      <c r="AR96" s="211"/>
      <c r="AS96" s="212"/>
      <c r="AT96" s="212"/>
      <c r="AU96" s="212"/>
      <c r="AW96" s="58"/>
      <c r="AX96" s="58"/>
      <c r="AY96" s="58"/>
      <c r="AZ96" s="58"/>
    </row>
    <row r="97" spans="1:52" s="185" customFormat="1" ht="15" customHeight="1" x14ac:dyDescent="0.25">
      <c r="A97" s="200"/>
      <c r="B97" s="211"/>
      <c r="C97" s="212">
        <f t="shared" si="8"/>
        <v>8.5999999999999854</v>
      </c>
      <c r="D97" s="231">
        <f>15+[2]!STEPLOAD(5)</f>
        <v>20</v>
      </c>
      <c r="E97" s="212">
        <f t="shared" si="9"/>
        <v>42.312058581354712</v>
      </c>
      <c r="F97" s="212">
        <f t="shared" si="10"/>
        <v>0.5</v>
      </c>
      <c r="G97" s="212">
        <f>5</f>
        <v>5</v>
      </c>
      <c r="H97" s="212">
        <f>60</f>
        <v>60</v>
      </c>
      <c r="I97" s="212">
        <f t="shared" si="11"/>
        <v>0.9</v>
      </c>
      <c r="J97" s="212">
        <f>1</f>
        <v>1</v>
      </c>
      <c r="K97" s="212">
        <f t="shared" si="12"/>
        <v>4.1870000000000003</v>
      </c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196"/>
      <c r="AD97" s="27"/>
      <c r="AE97" s="213"/>
      <c r="AF97" s="212">
        <f t="shared" si="13"/>
        <v>0.34820660902478684</v>
      </c>
      <c r="AG97" s="212"/>
      <c r="AH97" s="212"/>
      <c r="AI97" s="212"/>
      <c r="AJ97" s="212"/>
      <c r="AK97" s="212"/>
      <c r="AL97" s="212"/>
      <c r="AM97" s="212"/>
      <c r="AN97" s="212"/>
      <c r="AO97" s="212"/>
      <c r="AP97" s="196"/>
      <c r="AQ97" s="196"/>
      <c r="AR97" s="211"/>
      <c r="AS97" s="212"/>
      <c r="AT97" s="212"/>
      <c r="AU97" s="212"/>
      <c r="AW97" s="58"/>
      <c r="AX97" s="58"/>
      <c r="AY97" s="58"/>
      <c r="AZ97" s="58"/>
    </row>
    <row r="98" spans="1:52" s="185" customFormat="1" ht="15" customHeight="1" x14ac:dyDescent="0.25">
      <c r="A98" s="200"/>
      <c r="B98" s="211"/>
      <c r="C98" s="212">
        <f t="shared" si="8"/>
        <v>8.6999999999999851</v>
      </c>
      <c r="D98" s="231">
        <f>15+[2]!STEPLOAD(5)</f>
        <v>20</v>
      </c>
      <c r="E98" s="212">
        <f t="shared" si="9"/>
        <v>42.346879242257188</v>
      </c>
      <c r="F98" s="212">
        <f t="shared" si="10"/>
        <v>0.5</v>
      </c>
      <c r="G98" s="212">
        <f>5</f>
        <v>5</v>
      </c>
      <c r="H98" s="212">
        <f>60</f>
        <v>60</v>
      </c>
      <c r="I98" s="212">
        <f t="shared" si="11"/>
        <v>0.9</v>
      </c>
      <c r="J98" s="212">
        <f>1</f>
        <v>1</v>
      </c>
      <c r="K98" s="212">
        <f t="shared" si="12"/>
        <v>4.1870000000000003</v>
      </c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196"/>
      <c r="AD98" s="27"/>
      <c r="AE98" s="213"/>
      <c r="AF98" s="212">
        <f t="shared" si="13"/>
        <v>0.34472454293453936</v>
      </c>
      <c r="AG98" s="212"/>
      <c r="AH98" s="212"/>
      <c r="AI98" s="212"/>
      <c r="AJ98" s="212"/>
      <c r="AK98" s="212"/>
      <c r="AL98" s="212"/>
      <c r="AM98" s="212"/>
      <c r="AN98" s="212"/>
      <c r="AO98" s="212"/>
      <c r="AP98" s="196"/>
      <c r="AQ98" s="196"/>
      <c r="AR98" s="211"/>
      <c r="AS98" s="212"/>
      <c r="AT98" s="212"/>
      <c r="AU98" s="212"/>
      <c r="AW98" s="58"/>
      <c r="AX98" s="58"/>
      <c r="AY98" s="58"/>
      <c r="AZ98" s="58"/>
    </row>
    <row r="99" spans="1:52" s="185" customFormat="1" ht="15" customHeight="1" x14ac:dyDescent="0.25">
      <c r="A99" s="200"/>
      <c r="B99" s="211"/>
      <c r="C99" s="212">
        <f t="shared" si="8"/>
        <v>8.7999999999999847</v>
      </c>
      <c r="D99" s="231">
        <f>15+[2]!STEPLOAD(5)</f>
        <v>20</v>
      </c>
      <c r="E99" s="212">
        <f t="shared" si="9"/>
        <v>42.381351696550645</v>
      </c>
      <c r="F99" s="212">
        <f t="shared" si="10"/>
        <v>0.5</v>
      </c>
      <c r="G99" s="212">
        <f>5</f>
        <v>5</v>
      </c>
      <c r="H99" s="212">
        <f>60</f>
        <v>60</v>
      </c>
      <c r="I99" s="212">
        <f t="shared" si="11"/>
        <v>0.9</v>
      </c>
      <c r="J99" s="212">
        <f>1</f>
        <v>1</v>
      </c>
      <c r="K99" s="212">
        <f t="shared" si="12"/>
        <v>4.1870000000000003</v>
      </c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196"/>
      <c r="AD99" s="27"/>
      <c r="AE99" s="213"/>
      <c r="AF99" s="212">
        <f t="shared" si="13"/>
        <v>0.34127729750519364</v>
      </c>
      <c r="AG99" s="212"/>
      <c r="AH99" s="212"/>
      <c r="AI99" s="212"/>
      <c r="AJ99" s="212"/>
      <c r="AK99" s="212"/>
      <c r="AL99" s="212"/>
      <c r="AM99" s="212"/>
      <c r="AN99" s="212"/>
      <c r="AO99" s="212"/>
      <c r="AP99" s="196"/>
      <c r="AQ99" s="196"/>
      <c r="AR99" s="211"/>
      <c r="AS99" s="212"/>
      <c r="AT99" s="212"/>
      <c r="AU99" s="212"/>
      <c r="AW99" s="58"/>
      <c r="AX99" s="58"/>
      <c r="AY99" s="58"/>
      <c r="AZ99" s="58"/>
    </row>
    <row r="100" spans="1:52" s="185" customFormat="1" ht="15" customHeight="1" x14ac:dyDescent="0.25">
      <c r="A100" s="200"/>
      <c r="B100" s="211"/>
      <c r="C100" s="212">
        <f t="shared" si="8"/>
        <v>8.8999999999999844</v>
      </c>
      <c r="D100" s="231">
        <f>15+[2]!STEPLOAD(5)</f>
        <v>20</v>
      </c>
      <c r="E100" s="212">
        <f t="shared" si="9"/>
        <v>42.415479426301161</v>
      </c>
      <c r="F100" s="212">
        <f t="shared" si="10"/>
        <v>0.5</v>
      </c>
      <c r="G100" s="212">
        <f>5</f>
        <v>5</v>
      </c>
      <c r="H100" s="212">
        <f>60</f>
        <v>60</v>
      </c>
      <c r="I100" s="212">
        <f t="shared" si="11"/>
        <v>0.9</v>
      </c>
      <c r="J100" s="212">
        <f>1</f>
        <v>1</v>
      </c>
      <c r="K100" s="212">
        <f t="shared" si="12"/>
        <v>4.1870000000000003</v>
      </c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196"/>
      <c r="AD100" s="27"/>
      <c r="AE100" s="213"/>
      <c r="AF100" s="212">
        <f t="shared" si="13"/>
        <v>0.33786452453014171</v>
      </c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196"/>
      <c r="AQ100" s="196"/>
      <c r="AR100" s="211"/>
      <c r="AS100" s="212"/>
      <c r="AT100" s="212"/>
      <c r="AU100" s="212"/>
      <c r="AW100" s="58"/>
      <c r="AX100" s="58"/>
      <c r="AY100" s="58"/>
      <c r="AZ100" s="58"/>
    </row>
    <row r="101" spans="1:52" s="185" customFormat="1" ht="15" customHeight="1" x14ac:dyDescent="0.25">
      <c r="A101" s="200"/>
      <c r="B101" s="211"/>
      <c r="C101" s="212">
        <f t="shared" si="8"/>
        <v>8.999999999999984</v>
      </c>
      <c r="D101" s="231">
        <f>15+[2]!STEPLOAD(5)</f>
        <v>20</v>
      </c>
      <c r="E101" s="212">
        <f t="shared" si="9"/>
        <v>42.449265878754176</v>
      </c>
      <c r="F101" s="212">
        <f t="shared" si="10"/>
        <v>0.5</v>
      </c>
      <c r="G101" s="212">
        <f>5</f>
        <v>5</v>
      </c>
      <c r="H101" s="212">
        <f>60</f>
        <v>60</v>
      </c>
      <c r="I101" s="212">
        <f t="shared" si="11"/>
        <v>0.9</v>
      </c>
      <c r="J101" s="212">
        <f>1</f>
        <v>1</v>
      </c>
      <c r="K101" s="212">
        <f t="shared" si="12"/>
        <v>4.1870000000000003</v>
      </c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196"/>
      <c r="AD101" s="27"/>
      <c r="AE101" s="213"/>
      <c r="AF101" s="212">
        <f t="shared" si="13"/>
        <v>0.33448587928484041</v>
      </c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196"/>
      <c r="AQ101" s="196"/>
      <c r="AR101" s="211"/>
      <c r="AS101" s="212"/>
      <c r="AT101" s="212"/>
      <c r="AU101" s="212"/>
      <c r="AW101" s="58"/>
      <c r="AX101" s="58"/>
      <c r="AY101" s="58"/>
      <c r="AZ101" s="58"/>
    </row>
    <row r="102" spans="1:52" s="185" customFormat="1" ht="15" customHeight="1" x14ac:dyDescent="0.25">
      <c r="A102" s="200"/>
      <c r="B102" s="211"/>
      <c r="C102" s="212">
        <f t="shared" si="8"/>
        <v>9.0999999999999837</v>
      </c>
      <c r="D102" s="231">
        <f>15+[2]!STEPLOAD(5)</f>
        <v>20</v>
      </c>
      <c r="E102" s="212">
        <f t="shared" si="9"/>
        <v>42.482714466682658</v>
      </c>
      <c r="F102" s="212">
        <f t="shared" si="10"/>
        <v>0.5</v>
      </c>
      <c r="G102" s="212">
        <f>5</f>
        <v>5</v>
      </c>
      <c r="H102" s="212">
        <f>60</f>
        <v>60</v>
      </c>
      <c r="I102" s="212">
        <f t="shared" si="11"/>
        <v>0.9</v>
      </c>
      <c r="J102" s="212">
        <f>1</f>
        <v>1</v>
      </c>
      <c r="K102" s="212">
        <f t="shared" si="12"/>
        <v>4.1870000000000003</v>
      </c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196"/>
      <c r="AD102" s="27"/>
      <c r="AE102" s="213"/>
      <c r="AF102" s="212">
        <f t="shared" si="13"/>
        <v>0.33114102049199223</v>
      </c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196"/>
      <c r="AQ102" s="196"/>
      <c r="AR102" s="211"/>
      <c r="AS102" s="212"/>
      <c r="AT102" s="212"/>
      <c r="AU102" s="212"/>
      <c r="AW102" s="58"/>
      <c r="AX102" s="58"/>
      <c r="AY102" s="58"/>
      <c r="AZ102" s="58"/>
    </row>
    <row r="103" spans="1:52" s="185" customFormat="1" ht="15" customHeight="1" x14ac:dyDescent="0.25">
      <c r="A103" s="200"/>
      <c r="B103" s="211"/>
      <c r="C103" s="212">
        <f t="shared" si="8"/>
        <v>9.1999999999999833</v>
      </c>
      <c r="D103" s="231">
        <f>15+[2]!STEPLOAD(5)</f>
        <v>20</v>
      </c>
      <c r="E103" s="212">
        <f t="shared" si="9"/>
        <v>42.515828568731855</v>
      </c>
      <c r="F103" s="212">
        <f t="shared" si="10"/>
        <v>0.5</v>
      </c>
      <c r="G103" s="212">
        <f>5</f>
        <v>5</v>
      </c>
      <c r="H103" s="212">
        <f>60</f>
        <v>60</v>
      </c>
      <c r="I103" s="212">
        <f t="shared" si="11"/>
        <v>0.9</v>
      </c>
      <c r="J103" s="212">
        <f>1</f>
        <v>1</v>
      </c>
      <c r="K103" s="212">
        <f t="shared" si="12"/>
        <v>4.1870000000000003</v>
      </c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196"/>
      <c r="AD103" s="27"/>
      <c r="AE103" s="213"/>
      <c r="AF103" s="212">
        <f t="shared" si="13"/>
        <v>0.32782961028707236</v>
      </c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196"/>
      <c r="AQ103" s="196"/>
      <c r="AR103" s="211"/>
      <c r="AS103" s="212"/>
      <c r="AT103" s="212"/>
      <c r="AU103" s="212"/>
      <c r="AW103" s="58"/>
      <c r="AX103" s="58"/>
      <c r="AY103" s="58"/>
      <c r="AZ103" s="58"/>
    </row>
    <row r="104" spans="1:52" s="185" customFormat="1" ht="15" customHeight="1" x14ac:dyDescent="0.25">
      <c r="A104" s="200"/>
      <c r="B104" s="211"/>
      <c r="C104" s="212">
        <f t="shared" si="8"/>
        <v>9.2999999999999829</v>
      </c>
      <c r="D104" s="231">
        <f>15+[2]!STEPLOAD(5)</f>
        <v>20</v>
      </c>
      <c r="E104" s="212">
        <f t="shared" si="9"/>
        <v>42.548611529760564</v>
      </c>
      <c r="F104" s="212">
        <f t="shared" si="10"/>
        <v>0.5</v>
      </c>
      <c r="G104" s="212">
        <f>5</f>
        <v>5</v>
      </c>
      <c r="H104" s="212">
        <f>60</f>
        <v>60</v>
      </c>
      <c r="I104" s="212">
        <f t="shared" si="11"/>
        <v>0.9</v>
      </c>
      <c r="J104" s="212">
        <f>1</f>
        <v>1</v>
      </c>
      <c r="K104" s="212">
        <f t="shared" si="12"/>
        <v>4.1870000000000003</v>
      </c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196"/>
      <c r="AD104" s="27"/>
      <c r="AE104" s="213"/>
      <c r="AF104" s="212">
        <f t="shared" si="13"/>
        <v>0.3245513141842018</v>
      </c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196"/>
      <c r="AQ104" s="196"/>
      <c r="AR104" s="211"/>
      <c r="AS104" s="212"/>
      <c r="AT104" s="212"/>
      <c r="AU104" s="212"/>
      <c r="AW104" s="58"/>
      <c r="AX104" s="58"/>
      <c r="AY104" s="58"/>
      <c r="AZ104" s="58"/>
    </row>
    <row r="105" spans="1:52" s="185" customFormat="1" ht="15" customHeight="1" x14ac:dyDescent="0.25">
      <c r="A105" s="200"/>
      <c r="B105" s="211"/>
      <c r="C105" s="212">
        <f t="shared" si="8"/>
        <v>9.3999999999999826</v>
      </c>
      <c r="D105" s="231">
        <f>15+[2]!STEPLOAD(5)</f>
        <v>20</v>
      </c>
      <c r="E105" s="212">
        <f t="shared" si="9"/>
        <v>42.581066661178987</v>
      </c>
      <c r="F105" s="212">
        <f t="shared" si="10"/>
        <v>0.5</v>
      </c>
      <c r="G105" s="212">
        <f>5</f>
        <v>5</v>
      </c>
      <c r="H105" s="212">
        <f>60</f>
        <v>60</v>
      </c>
      <c r="I105" s="212">
        <f t="shared" si="11"/>
        <v>0.9</v>
      </c>
      <c r="J105" s="212">
        <f>1</f>
        <v>1</v>
      </c>
      <c r="K105" s="212">
        <f t="shared" si="12"/>
        <v>4.1870000000000003</v>
      </c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196"/>
      <c r="AD105" s="27"/>
      <c r="AE105" s="213"/>
      <c r="AF105" s="212">
        <f t="shared" si="13"/>
        <v>0.32130580104235928</v>
      </c>
      <c r="AG105" s="212"/>
      <c r="AH105" s="212"/>
      <c r="AI105" s="212"/>
      <c r="AJ105" s="212"/>
      <c r="AK105" s="212"/>
      <c r="AL105" s="212"/>
      <c r="AM105" s="212"/>
      <c r="AN105" s="212"/>
      <c r="AO105" s="212"/>
      <c r="AP105" s="196"/>
      <c r="AQ105" s="196"/>
      <c r="AR105" s="211"/>
      <c r="AS105" s="212"/>
      <c r="AT105" s="212"/>
      <c r="AU105" s="212"/>
      <c r="AW105" s="58"/>
      <c r="AX105" s="58"/>
      <c r="AY105" s="58"/>
      <c r="AZ105" s="58"/>
    </row>
    <row r="106" spans="1:52" s="185" customFormat="1" ht="15" customHeight="1" x14ac:dyDescent="0.25">
      <c r="A106" s="200"/>
      <c r="B106" s="211"/>
      <c r="C106" s="212">
        <f t="shared" si="8"/>
        <v>9.4999999999999822</v>
      </c>
      <c r="D106" s="231">
        <f>15+[2]!STEPLOAD(5)</f>
        <v>20</v>
      </c>
      <c r="E106" s="212">
        <f t="shared" si="9"/>
        <v>42.613197241283224</v>
      </c>
      <c r="F106" s="212">
        <f t="shared" si="10"/>
        <v>0.5</v>
      </c>
      <c r="G106" s="212">
        <f>5</f>
        <v>5</v>
      </c>
      <c r="H106" s="212">
        <f>60</f>
        <v>60</v>
      </c>
      <c r="I106" s="212">
        <f t="shared" si="11"/>
        <v>0.9</v>
      </c>
      <c r="J106" s="212">
        <f>1</f>
        <v>1</v>
      </c>
      <c r="K106" s="212">
        <f t="shared" si="12"/>
        <v>4.1870000000000003</v>
      </c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196"/>
      <c r="AD106" s="27"/>
      <c r="AE106" s="213"/>
      <c r="AF106" s="212">
        <f t="shared" si="13"/>
        <v>0.31809274303193558</v>
      </c>
      <c r="AG106" s="212"/>
      <c r="AH106" s="212"/>
      <c r="AI106" s="212"/>
      <c r="AJ106" s="212"/>
      <c r="AK106" s="212"/>
      <c r="AL106" s="212"/>
      <c r="AM106" s="212"/>
      <c r="AN106" s="212"/>
      <c r="AO106" s="212"/>
      <c r="AP106" s="196"/>
      <c r="AQ106" s="196"/>
      <c r="AR106" s="211"/>
      <c r="AS106" s="212"/>
      <c r="AT106" s="212"/>
      <c r="AU106" s="212"/>
      <c r="AW106" s="58"/>
      <c r="AX106" s="58"/>
      <c r="AY106" s="58"/>
      <c r="AZ106" s="58"/>
    </row>
    <row r="107" spans="1:52" s="185" customFormat="1" ht="15" customHeight="1" x14ac:dyDescent="0.25">
      <c r="A107" s="200"/>
      <c r="B107" s="211"/>
      <c r="C107" s="212">
        <f t="shared" si="8"/>
        <v>9.5999999999999819</v>
      </c>
      <c r="D107" s="231">
        <f>15+[2]!STEPLOAD(5)</f>
        <v>20</v>
      </c>
      <c r="E107" s="212">
        <f t="shared" si="9"/>
        <v>42.645006515586417</v>
      </c>
      <c r="F107" s="212">
        <f t="shared" si="10"/>
        <v>0.5</v>
      </c>
      <c r="G107" s="212">
        <f>5</f>
        <v>5</v>
      </c>
      <c r="H107" s="212">
        <f>60</f>
        <v>60</v>
      </c>
      <c r="I107" s="212">
        <f t="shared" si="11"/>
        <v>0.9</v>
      </c>
      <c r="J107" s="212">
        <f>1</f>
        <v>1</v>
      </c>
      <c r="K107" s="212">
        <f t="shared" si="12"/>
        <v>4.1870000000000003</v>
      </c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  <c r="AC107" s="196"/>
      <c r="AD107" s="27"/>
      <c r="AE107" s="213"/>
      <c r="AF107" s="212">
        <f t="shared" si="13"/>
        <v>0.31491181560161641</v>
      </c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196"/>
      <c r="AQ107" s="196"/>
      <c r="AR107" s="211"/>
      <c r="AS107" s="212"/>
      <c r="AT107" s="212"/>
      <c r="AU107" s="212"/>
      <c r="AW107" s="58"/>
      <c r="AX107" s="58"/>
      <c r="AY107" s="58"/>
      <c r="AZ107" s="58"/>
    </row>
    <row r="108" spans="1:52" s="185" customFormat="1" ht="15" customHeight="1" x14ac:dyDescent="0.25">
      <c r="A108" s="200"/>
      <c r="B108" s="211"/>
      <c r="C108" s="212">
        <f t="shared" si="8"/>
        <v>9.6999999999999815</v>
      </c>
      <c r="D108" s="231">
        <f>15+[2]!STEPLOAD(5)</f>
        <v>20</v>
      </c>
      <c r="E108" s="212">
        <f t="shared" si="9"/>
        <v>42.67649769714658</v>
      </c>
      <c r="F108" s="212">
        <f t="shared" si="10"/>
        <v>0.5</v>
      </c>
      <c r="G108" s="212">
        <f>5</f>
        <v>5</v>
      </c>
      <c r="H108" s="212">
        <f>60</f>
        <v>60</v>
      </c>
      <c r="I108" s="212">
        <f t="shared" si="11"/>
        <v>0.9</v>
      </c>
      <c r="J108" s="212">
        <f>1</f>
        <v>1</v>
      </c>
      <c r="K108" s="212">
        <f t="shared" si="12"/>
        <v>4.1870000000000003</v>
      </c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196"/>
      <c r="AD108" s="27"/>
      <c r="AE108" s="213"/>
      <c r="AF108" s="212">
        <f t="shared" si="13"/>
        <v>0.31176269744559981</v>
      </c>
      <c r="AG108" s="212"/>
      <c r="AH108" s="212"/>
      <c r="AI108" s="212"/>
      <c r="AJ108" s="212"/>
      <c r="AK108" s="212"/>
      <c r="AL108" s="212"/>
      <c r="AM108" s="212"/>
      <c r="AN108" s="212"/>
      <c r="AO108" s="212"/>
      <c r="AP108" s="196"/>
      <c r="AQ108" s="196"/>
      <c r="AR108" s="211"/>
      <c r="AS108" s="212"/>
      <c r="AT108" s="212"/>
      <c r="AU108" s="212"/>
      <c r="AW108" s="58"/>
      <c r="AX108" s="58"/>
      <c r="AY108" s="58"/>
      <c r="AZ108" s="58"/>
    </row>
    <row r="109" spans="1:52" s="185" customFormat="1" ht="15" customHeight="1" x14ac:dyDescent="0.25">
      <c r="A109" s="200"/>
      <c r="B109" s="211"/>
      <c r="C109" s="212">
        <f t="shared" si="8"/>
        <v>9.7999999999999812</v>
      </c>
      <c r="D109" s="231">
        <f>15+[2]!STEPLOAD(5)</f>
        <v>20</v>
      </c>
      <c r="E109" s="212">
        <f t="shared" si="9"/>
        <v>42.707673966891143</v>
      </c>
      <c r="F109" s="212">
        <f t="shared" si="10"/>
        <v>0.5</v>
      </c>
      <c r="G109" s="212">
        <f>5</f>
        <v>5</v>
      </c>
      <c r="H109" s="212">
        <f>60</f>
        <v>60</v>
      </c>
      <c r="I109" s="212">
        <f t="shared" si="11"/>
        <v>0.9</v>
      </c>
      <c r="J109" s="212">
        <f>1</f>
        <v>1</v>
      </c>
      <c r="K109" s="212">
        <f t="shared" si="12"/>
        <v>4.1870000000000003</v>
      </c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  <c r="AC109" s="196"/>
      <c r="AD109" s="27"/>
      <c r="AE109" s="213"/>
      <c r="AF109" s="212">
        <f t="shared" si="13"/>
        <v>0.30864507047114387</v>
      </c>
      <c r="AG109" s="212"/>
      <c r="AH109" s="212"/>
      <c r="AI109" s="212"/>
      <c r="AJ109" s="212"/>
      <c r="AK109" s="212"/>
      <c r="AL109" s="212"/>
      <c r="AM109" s="212"/>
      <c r="AN109" s="212"/>
      <c r="AO109" s="212"/>
      <c r="AP109" s="196"/>
      <c r="AQ109" s="196"/>
      <c r="AR109" s="211"/>
      <c r="AS109" s="212"/>
      <c r="AT109" s="212"/>
      <c r="AU109" s="212"/>
      <c r="AW109" s="58"/>
      <c r="AX109" s="58"/>
      <c r="AY109" s="58"/>
      <c r="AZ109" s="58"/>
    </row>
    <row r="110" spans="1:52" s="185" customFormat="1" ht="15" customHeight="1" x14ac:dyDescent="0.25">
      <c r="A110" s="200"/>
      <c r="B110" s="211"/>
      <c r="C110" s="212">
        <f t="shared" si="8"/>
        <v>9.8999999999999808</v>
      </c>
      <c r="D110" s="231">
        <f>15+[2]!STEPLOAD(5)</f>
        <v>20</v>
      </c>
      <c r="E110" s="212">
        <f t="shared" si="9"/>
        <v>42.738538473938256</v>
      </c>
      <c r="F110" s="212">
        <f t="shared" si="10"/>
        <v>0.5</v>
      </c>
      <c r="G110" s="212">
        <f>5</f>
        <v>5</v>
      </c>
      <c r="H110" s="212">
        <f>60</f>
        <v>60</v>
      </c>
      <c r="I110" s="212">
        <f t="shared" si="11"/>
        <v>0.9</v>
      </c>
      <c r="J110" s="212">
        <f>1</f>
        <v>1</v>
      </c>
      <c r="K110" s="212">
        <f t="shared" si="12"/>
        <v>4.1870000000000003</v>
      </c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  <c r="AC110" s="196"/>
      <c r="AD110" s="27"/>
      <c r="AE110" s="213"/>
      <c r="AF110" s="212">
        <f t="shared" si="13"/>
        <v>0.30555861976643239</v>
      </c>
      <c r="AG110" s="212"/>
      <c r="AH110" s="212"/>
      <c r="AI110" s="212"/>
      <c r="AJ110" s="212"/>
      <c r="AK110" s="212"/>
      <c r="AL110" s="212"/>
      <c r="AM110" s="212"/>
      <c r="AN110" s="212"/>
      <c r="AO110" s="212"/>
      <c r="AP110" s="196"/>
      <c r="AQ110" s="196"/>
      <c r="AR110" s="211"/>
      <c r="AS110" s="212"/>
      <c r="AT110" s="212"/>
      <c r="AU110" s="212"/>
      <c r="AW110" s="58"/>
      <c r="AX110" s="58"/>
      <c r="AY110" s="58"/>
      <c r="AZ110" s="58"/>
    </row>
    <row r="111" spans="1:52" s="185" customFormat="1" ht="15" customHeight="1" x14ac:dyDescent="0.25">
      <c r="A111" s="200"/>
      <c r="B111" s="211"/>
      <c r="C111" s="212">
        <f t="shared" si="8"/>
        <v>9.9999999999999805</v>
      </c>
      <c r="D111" s="231">
        <f>15+[2]!STEPLOAD(5)</f>
        <v>20</v>
      </c>
      <c r="E111" s="212">
        <f t="shared" si="9"/>
        <v>42.7690943359149</v>
      </c>
      <c r="F111" s="212">
        <f t="shared" si="10"/>
        <v>0.5</v>
      </c>
      <c r="G111" s="212">
        <f>5</f>
        <v>5</v>
      </c>
      <c r="H111" s="212">
        <f>60</f>
        <v>60</v>
      </c>
      <c r="I111" s="212">
        <f t="shared" si="11"/>
        <v>0.9</v>
      </c>
      <c r="J111" s="212">
        <f>1</f>
        <v>1</v>
      </c>
      <c r="K111" s="212">
        <f t="shared" si="12"/>
        <v>4.1870000000000003</v>
      </c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  <c r="AC111" s="196"/>
      <c r="AD111" s="27"/>
      <c r="AE111" s="213"/>
      <c r="AF111" s="212">
        <f t="shared" si="13"/>
        <v>0.30250303356876795</v>
      </c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196"/>
      <c r="AQ111" s="196"/>
      <c r="AR111" s="211"/>
      <c r="AS111" s="212"/>
      <c r="AT111" s="212"/>
      <c r="AU111" s="212"/>
      <c r="AW111" s="58"/>
      <c r="AX111" s="58"/>
      <c r="AY111" s="58"/>
      <c r="AZ111" s="58"/>
    </row>
    <row r="112" spans="1:52" s="185" customFormat="1" ht="15" customHeight="1" x14ac:dyDescent="0.25">
      <c r="A112" s="200"/>
      <c r="B112" s="211"/>
      <c r="C112" s="212">
        <f t="shared" si="8"/>
        <v>10.09999999999998</v>
      </c>
      <c r="D112" s="231">
        <f>15+[2]!STEPLOAD(5)</f>
        <v>20</v>
      </c>
      <c r="E112" s="212">
        <f t="shared" si="9"/>
        <v>42.79934463927178</v>
      </c>
      <c r="F112" s="212">
        <f t="shared" si="10"/>
        <v>0.5</v>
      </c>
      <c r="G112" s="212">
        <f>5</f>
        <v>5</v>
      </c>
      <c r="H112" s="212">
        <f>60</f>
        <v>60</v>
      </c>
      <c r="I112" s="212">
        <f t="shared" si="11"/>
        <v>0.9</v>
      </c>
      <c r="J112" s="212">
        <f>1</f>
        <v>1</v>
      </c>
      <c r="K112" s="212">
        <f t="shared" si="12"/>
        <v>4.1870000000000003</v>
      </c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2"/>
      <c r="AC112" s="196"/>
      <c r="AD112" s="27"/>
      <c r="AE112" s="213"/>
      <c r="AF112" s="212">
        <f t="shared" si="13"/>
        <v>0.29947800323308016</v>
      </c>
      <c r="AG112" s="212"/>
      <c r="AH112" s="212"/>
      <c r="AI112" s="212"/>
      <c r="AJ112" s="212"/>
      <c r="AK112" s="212"/>
      <c r="AL112" s="212"/>
      <c r="AM112" s="212"/>
      <c r="AN112" s="212"/>
      <c r="AO112" s="212"/>
      <c r="AP112" s="196"/>
      <c r="AQ112" s="196"/>
      <c r="AR112" s="211"/>
      <c r="AS112" s="212"/>
      <c r="AT112" s="212"/>
      <c r="AU112" s="212"/>
      <c r="AW112" s="58"/>
      <c r="AX112" s="58"/>
      <c r="AY112" s="58"/>
      <c r="AZ112" s="58"/>
    </row>
    <row r="113" spans="1:52" s="185" customFormat="1" ht="15" customHeight="1" x14ac:dyDescent="0.25">
      <c r="A113" s="200"/>
      <c r="B113" s="211"/>
      <c r="C113" s="212">
        <f t="shared" si="8"/>
        <v>10.19999999999998</v>
      </c>
      <c r="D113" s="231">
        <f>15+[2]!STEPLOAD(5)</f>
        <v>20</v>
      </c>
      <c r="E113" s="212">
        <f t="shared" si="9"/>
        <v>42.829292439595086</v>
      </c>
      <c r="F113" s="212">
        <f t="shared" si="10"/>
        <v>0.5</v>
      </c>
      <c r="G113" s="212">
        <f>5</f>
        <v>5</v>
      </c>
      <c r="H113" s="212">
        <f>60</f>
        <v>60</v>
      </c>
      <c r="I113" s="212">
        <f t="shared" si="11"/>
        <v>0.9</v>
      </c>
      <c r="J113" s="212">
        <f>1</f>
        <v>1</v>
      </c>
      <c r="K113" s="212">
        <f t="shared" si="12"/>
        <v>4.1870000000000003</v>
      </c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196"/>
      <c r="AD113" s="27"/>
      <c r="AE113" s="213"/>
      <c r="AF113" s="212">
        <f t="shared" si="13"/>
        <v>0.29648322320074927</v>
      </c>
      <c r="AG113" s="212"/>
      <c r="AH113" s="212"/>
      <c r="AI113" s="212"/>
      <c r="AJ113" s="212"/>
      <c r="AK113" s="212"/>
      <c r="AL113" s="212"/>
      <c r="AM113" s="212"/>
      <c r="AN113" s="212"/>
      <c r="AO113" s="212"/>
      <c r="AP113" s="196"/>
      <c r="AQ113" s="196"/>
      <c r="AR113" s="211"/>
      <c r="AS113" s="212"/>
      <c r="AT113" s="212"/>
      <c r="AU113" s="212"/>
      <c r="AW113" s="58"/>
      <c r="AX113" s="58"/>
      <c r="AY113" s="58"/>
      <c r="AZ113" s="58"/>
    </row>
    <row r="114" spans="1:52" s="185" customFormat="1" ht="15" customHeight="1" x14ac:dyDescent="0.25">
      <c r="A114" s="200"/>
      <c r="B114" s="211"/>
      <c r="C114" s="212">
        <f t="shared" si="8"/>
        <v>10.299999999999979</v>
      </c>
      <c r="D114" s="231">
        <f>15+[2]!STEPLOAD(5)</f>
        <v>20</v>
      </c>
      <c r="E114" s="212">
        <f t="shared" si="9"/>
        <v>42.858940761915164</v>
      </c>
      <c r="F114" s="212">
        <f t="shared" si="10"/>
        <v>0.5</v>
      </c>
      <c r="G114" s="212">
        <f>5</f>
        <v>5</v>
      </c>
      <c r="H114" s="212">
        <f>60</f>
        <v>60</v>
      </c>
      <c r="I114" s="212">
        <f t="shared" si="11"/>
        <v>0.9</v>
      </c>
      <c r="J114" s="212">
        <f>1</f>
        <v>1</v>
      </c>
      <c r="K114" s="212">
        <f t="shared" si="12"/>
        <v>4.1870000000000003</v>
      </c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196"/>
      <c r="AD114" s="27"/>
      <c r="AE114" s="213"/>
      <c r="AF114" s="212">
        <f t="shared" si="13"/>
        <v>0.29351839096874155</v>
      </c>
      <c r="AG114" s="212"/>
      <c r="AH114" s="212"/>
      <c r="AI114" s="212"/>
      <c r="AJ114" s="212"/>
      <c r="AK114" s="212"/>
      <c r="AL114" s="212"/>
      <c r="AM114" s="212"/>
      <c r="AN114" s="212"/>
      <c r="AO114" s="212"/>
      <c r="AP114" s="196"/>
      <c r="AQ114" s="196"/>
      <c r="AR114" s="211"/>
      <c r="AS114" s="212"/>
      <c r="AT114" s="212"/>
      <c r="AU114" s="212"/>
      <c r="AW114" s="58"/>
      <c r="AX114" s="58"/>
      <c r="AY114" s="58"/>
      <c r="AZ114" s="58"/>
    </row>
    <row r="115" spans="1:52" s="185" customFormat="1" ht="15" customHeight="1" x14ac:dyDescent="0.25">
      <c r="A115" s="200"/>
      <c r="B115" s="211"/>
      <c r="C115" s="212">
        <f t="shared" si="8"/>
        <v>10.399999999999979</v>
      </c>
      <c r="D115" s="231">
        <f>15+[2]!STEPLOAD(5)</f>
        <v>20</v>
      </c>
      <c r="E115" s="212">
        <f t="shared" si="9"/>
        <v>42.88829260101204</v>
      </c>
      <c r="F115" s="212">
        <f t="shared" si="10"/>
        <v>0.5</v>
      </c>
      <c r="G115" s="212">
        <f>5</f>
        <v>5</v>
      </c>
      <c r="H115" s="212">
        <f>60</f>
        <v>60</v>
      </c>
      <c r="I115" s="212">
        <f t="shared" si="11"/>
        <v>0.9</v>
      </c>
      <c r="J115" s="212">
        <f>1</f>
        <v>1</v>
      </c>
      <c r="K115" s="212">
        <f t="shared" si="12"/>
        <v>4.1870000000000003</v>
      </c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196"/>
      <c r="AD115" s="27"/>
      <c r="AE115" s="213"/>
      <c r="AF115" s="212">
        <f t="shared" si="13"/>
        <v>0.29058320705905416</v>
      </c>
      <c r="AG115" s="212"/>
      <c r="AH115" s="212"/>
      <c r="AI115" s="212"/>
      <c r="AJ115" s="212"/>
      <c r="AK115" s="212"/>
      <c r="AL115" s="212"/>
      <c r="AM115" s="212"/>
      <c r="AN115" s="212"/>
      <c r="AO115" s="212"/>
      <c r="AP115" s="196"/>
      <c r="AQ115" s="196"/>
      <c r="AR115" s="211"/>
      <c r="AS115" s="212"/>
      <c r="AT115" s="212"/>
      <c r="AU115" s="212"/>
      <c r="AW115" s="58"/>
      <c r="AX115" s="58"/>
      <c r="AY115" s="58"/>
      <c r="AZ115" s="58"/>
    </row>
    <row r="116" spans="1:52" s="185" customFormat="1" ht="15" customHeight="1" x14ac:dyDescent="0.25">
      <c r="A116" s="200"/>
      <c r="B116" s="211"/>
      <c r="C116" s="212">
        <f t="shared" si="8"/>
        <v>10.499999999999979</v>
      </c>
      <c r="D116" s="231">
        <f>15+[2]!STEPLOAD(5)</f>
        <v>20</v>
      </c>
      <c r="E116" s="212">
        <f t="shared" si="9"/>
        <v>42.917350921717947</v>
      </c>
      <c r="F116" s="212">
        <f t="shared" si="10"/>
        <v>0.5</v>
      </c>
      <c r="G116" s="212">
        <f>5</f>
        <v>5</v>
      </c>
      <c r="H116" s="212">
        <f>60</f>
        <v>60</v>
      </c>
      <c r="I116" s="212">
        <f t="shared" si="11"/>
        <v>0.9</v>
      </c>
      <c r="J116" s="212">
        <f>1</f>
        <v>1</v>
      </c>
      <c r="K116" s="212">
        <f t="shared" si="12"/>
        <v>4.1870000000000003</v>
      </c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196"/>
      <c r="AD116" s="27"/>
      <c r="AE116" s="213"/>
      <c r="AF116" s="212">
        <f t="shared" si="13"/>
        <v>0.28767737498846335</v>
      </c>
      <c r="AG116" s="212"/>
      <c r="AH116" s="212"/>
      <c r="AI116" s="212"/>
      <c r="AJ116" s="212"/>
      <c r="AK116" s="212"/>
      <c r="AL116" s="212"/>
      <c r="AM116" s="212"/>
      <c r="AN116" s="212"/>
      <c r="AO116" s="212"/>
      <c r="AP116" s="196"/>
      <c r="AQ116" s="196"/>
      <c r="AR116" s="211"/>
      <c r="AS116" s="212"/>
      <c r="AT116" s="212"/>
      <c r="AU116" s="212"/>
      <c r="AW116" s="58"/>
      <c r="AX116" s="58"/>
      <c r="AY116" s="58"/>
      <c r="AZ116" s="58"/>
    </row>
    <row r="117" spans="1:52" s="185" customFormat="1" ht="15" customHeight="1" x14ac:dyDescent="0.25">
      <c r="A117" s="200"/>
      <c r="B117" s="211"/>
      <c r="C117" s="212">
        <f t="shared" si="8"/>
        <v>10.599999999999978</v>
      </c>
      <c r="D117" s="231">
        <f>15+[2]!STEPLOAD(5)</f>
        <v>20</v>
      </c>
      <c r="E117" s="212">
        <f t="shared" si="9"/>
        <v>42.946118659216793</v>
      </c>
      <c r="F117" s="212">
        <f t="shared" si="10"/>
        <v>0.5</v>
      </c>
      <c r="G117" s="212">
        <f>5</f>
        <v>5</v>
      </c>
      <c r="H117" s="212">
        <f>60</f>
        <v>60</v>
      </c>
      <c r="I117" s="212">
        <f t="shared" si="11"/>
        <v>0.9</v>
      </c>
      <c r="J117" s="212">
        <f>1</f>
        <v>1</v>
      </c>
      <c r="K117" s="212">
        <f t="shared" si="12"/>
        <v>4.1870000000000003</v>
      </c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196"/>
      <c r="AD117" s="27"/>
      <c r="AE117" s="213"/>
      <c r="AF117" s="212">
        <f t="shared" si="13"/>
        <v>0.28480060123857864</v>
      </c>
      <c r="AG117" s="212"/>
      <c r="AH117" s="212"/>
      <c r="AI117" s="212"/>
      <c r="AJ117" s="212"/>
      <c r="AK117" s="212"/>
      <c r="AL117" s="212"/>
      <c r="AM117" s="212"/>
      <c r="AN117" s="212"/>
      <c r="AO117" s="212"/>
      <c r="AP117" s="196"/>
      <c r="AQ117" s="196"/>
      <c r="AR117" s="211"/>
      <c r="AS117" s="212"/>
      <c r="AT117" s="212"/>
      <c r="AU117" s="212"/>
      <c r="AW117" s="58"/>
      <c r="AX117" s="58"/>
      <c r="AY117" s="58"/>
      <c r="AZ117" s="58"/>
    </row>
    <row r="118" spans="1:52" s="185" customFormat="1" ht="15" customHeight="1" x14ac:dyDescent="0.25">
      <c r="A118" s="200"/>
      <c r="B118" s="211"/>
      <c r="C118" s="212">
        <f t="shared" si="8"/>
        <v>10.699999999999978</v>
      </c>
      <c r="D118" s="231">
        <f>15+[2]!STEPLOAD(5)</f>
        <v>20</v>
      </c>
      <c r="E118" s="212">
        <f t="shared" si="9"/>
        <v>42.974598719340648</v>
      </c>
      <c r="F118" s="212">
        <f t="shared" si="10"/>
        <v>0.5</v>
      </c>
      <c r="G118" s="212">
        <f>5</f>
        <v>5</v>
      </c>
      <c r="H118" s="212">
        <f>60</f>
        <v>60</v>
      </c>
      <c r="I118" s="212">
        <f t="shared" si="11"/>
        <v>0.9</v>
      </c>
      <c r="J118" s="212">
        <f>1</f>
        <v>1</v>
      </c>
      <c r="K118" s="212">
        <f t="shared" si="12"/>
        <v>4.1870000000000003</v>
      </c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196"/>
      <c r="AD118" s="27"/>
      <c r="AE118" s="213"/>
      <c r="AF118" s="212">
        <f t="shared" si="13"/>
        <v>0.2819525952261932</v>
      </c>
      <c r="AG118" s="212"/>
      <c r="AH118" s="212"/>
      <c r="AI118" s="212"/>
      <c r="AJ118" s="212"/>
      <c r="AK118" s="212"/>
      <c r="AL118" s="212"/>
      <c r="AM118" s="212"/>
      <c r="AN118" s="212"/>
      <c r="AO118" s="212"/>
      <c r="AP118" s="196"/>
      <c r="AQ118" s="196"/>
      <c r="AR118" s="211"/>
      <c r="AS118" s="212"/>
      <c r="AT118" s="212"/>
      <c r="AU118" s="212"/>
      <c r="AW118" s="58"/>
      <c r="AX118" s="58"/>
      <c r="AY118" s="58"/>
      <c r="AZ118" s="58"/>
    </row>
    <row r="119" spans="1:52" s="185" customFormat="1" ht="15" customHeight="1" x14ac:dyDescent="0.25">
      <c r="A119" s="200"/>
      <c r="B119" s="211"/>
      <c r="C119" s="212">
        <f t="shared" si="8"/>
        <v>10.799999999999978</v>
      </c>
      <c r="D119" s="231">
        <f>15+[2]!STEPLOAD(5)</f>
        <v>20</v>
      </c>
      <c r="E119" s="212">
        <f t="shared" si="9"/>
        <v>43.002793978863266</v>
      </c>
      <c r="F119" s="212">
        <f t="shared" si="10"/>
        <v>0.5</v>
      </c>
      <c r="G119" s="212">
        <f>5</f>
        <v>5</v>
      </c>
      <c r="H119" s="212">
        <f>60</f>
        <v>60</v>
      </c>
      <c r="I119" s="212">
        <f t="shared" si="11"/>
        <v>0.9</v>
      </c>
      <c r="J119" s="212">
        <f>1</f>
        <v>1</v>
      </c>
      <c r="K119" s="212">
        <f t="shared" si="12"/>
        <v>4.1870000000000003</v>
      </c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196"/>
      <c r="AD119" s="27"/>
      <c r="AE119" s="213"/>
      <c r="AF119" s="212">
        <f t="shared" si="13"/>
        <v>0.27913306927393133</v>
      </c>
      <c r="AG119" s="212"/>
      <c r="AH119" s="212"/>
      <c r="AI119" s="212"/>
      <c r="AJ119" s="212"/>
      <c r="AK119" s="212"/>
      <c r="AL119" s="212"/>
      <c r="AM119" s="212"/>
      <c r="AN119" s="212"/>
      <c r="AO119" s="212"/>
      <c r="AP119" s="196"/>
      <c r="AQ119" s="196"/>
      <c r="AR119" s="211"/>
      <c r="AS119" s="212"/>
      <c r="AT119" s="212"/>
      <c r="AU119" s="212"/>
      <c r="AW119" s="58"/>
      <c r="AX119" s="58"/>
      <c r="AY119" s="58"/>
      <c r="AZ119" s="58"/>
    </row>
    <row r="120" spans="1:52" s="185" customFormat="1" ht="15" customHeight="1" x14ac:dyDescent="0.25">
      <c r="A120" s="200"/>
      <c r="B120" s="211"/>
      <c r="C120" s="212">
        <f t="shared" si="8"/>
        <v>10.899999999999977</v>
      </c>
      <c r="D120" s="231">
        <f>15+[2]!STEPLOAD(5)</f>
        <v>20</v>
      </c>
      <c r="E120" s="212">
        <f t="shared" si="9"/>
        <v>43.030707285790662</v>
      </c>
      <c r="F120" s="212">
        <f t="shared" si="10"/>
        <v>0.5</v>
      </c>
      <c r="G120" s="212">
        <f>5</f>
        <v>5</v>
      </c>
      <c r="H120" s="212">
        <f>60</f>
        <v>60</v>
      </c>
      <c r="I120" s="212">
        <f t="shared" si="11"/>
        <v>0.9</v>
      </c>
      <c r="J120" s="212">
        <f>1</f>
        <v>1</v>
      </c>
      <c r="K120" s="212">
        <f t="shared" si="12"/>
        <v>4.1870000000000003</v>
      </c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196"/>
      <c r="AD120" s="27"/>
      <c r="AE120" s="213"/>
      <c r="AF120" s="212">
        <f t="shared" si="13"/>
        <v>0.27634173858119171</v>
      </c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196"/>
      <c r="AQ120" s="196"/>
      <c r="AR120" s="211"/>
      <c r="AS120" s="212"/>
      <c r="AT120" s="212"/>
      <c r="AU120" s="212"/>
      <c r="AW120" s="58"/>
      <c r="AX120" s="58"/>
      <c r="AY120" s="58"/>
      <c r="AZ120" s="58"/>
    </row>
    <row r="121" spans="1:52" s="185" customFormat="1" ht="15" customHeight="1" x14ac:dyDescent="0.25">
      <c r="A121" s="200"/>
      <c r="B121" s="211"/>
      <c r="C121" s="212">
        <f t="shared" si="8"/>
        <v>10.999999999999977</v>
      </c>
      <c r="D121" s="231">
        <f>15+[2]!STEPLOAD(5)</f>
        <v>20</v>
      </c>
      <c r="E121" s="212">
        <f t="shared" si="9"/>
        <v>43.05834145964878</v>
      </c>
      <c r="F121" s="212">
        <f t="shared" si="10"/>
        <v>0.5</v>
      </c>
      <c r="G121" s="212">
        <f>5</f>
        <v>5</v>
      </c>
      <c r="H121" s="212">
        <f>60</f>
        <v>60</v>
      </c>
      <c r="I121" s="212">
        <f t="shared" si="11"/>
        <v>0.9</v>
      </c>
      <c r="J121" s="212">
        <f>1</f>
        <v>1</v>
      </c>
      <c r="K121" s="212">
        <f t="shared" si="12"/>
        <v>4.1870000000000003</v>
      </c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196"/>
      <c r="AD121" s="27"/>
      <c r="AE121" s="213"/>
      <c r="AF121" s="212">
        <f t="shared" si="13"/>
        <v>0.27357832119538017</v>
      </c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196"/>
      <c r="AQ121" s="196"/>
      <c r="AR121" s="211"/>
      <c r="AS121" s="212"/>
      <c r="AT121" s="212"/>
      <c r="AU121" s="212"/>
      <c r="AW121" s="58"/>
      <c r="AX121" s="58"/>
      <c r="AY121" s="58"/>
      <c r="AZ121" s="58"/>
    </row>
    <row r="122" spans="1:52" s="185" customFormat="1" ht="15" customHeight="1" x14ac:dyDescent="0.25">
      <c r="A122" s="200"/>
      <c r="B122" s="211"/>
      <c r="C122" s="212">
        <f t="shared" si="8"/>
        <v>11.099999999999977</v>
      </c>
      <c r="D122" s="231">
        <f>15+[2]!STEPLOAD(5)</f>
        <v>20</v>
      </c>
      <c r="E122" s="212">
        <f t="shared" si="9"/>
        <v>43.085699291768314</v>
      </c>
      <c r="F122" s="212">
        <f t="shared" si="10"/>
        <v>0.5</v>
      </c>
      <c r="G122" s="212">
        <f>5</f>
        <v>5</v>
      </c>
      <c r="H122" s="212">
        <f>60</f>
        <v>60</v>
      </c>
      <c r="I122" s="212">
        <f t="shared" si="11"/>
        <v>0.9</v>
      </c>
      <c r="J122" s="212">
        <f>1</f>
        <v>1</v>
      </c>
      <c r="K122" s="212">
        <f t="shared" si="12"/>
        <v>4.1870000000000003</v>
      </c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196"/>
      <c r="AD122" s="27"/>
      <c r="AE122" s="213"/>
      <c r="AF122" s="212">
        <f t="shared" si="13"/>
        <v>0.27084253798342672</v>
      </c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196"/>
      <c r="AQ122" s="196"/>
      <c r="AR122" s="211"/>
      <c r="AS122" s="212"/>
      <c r="AT122" s="212"/>
      <c r="AU122" s="212"/>
      <c r="AW122" s="58"/>
      <c r="AX122" s="58"/>
      <c r="AY122" s="58"/>
      <c r="AZ122" s="58"/>
    </row>
    <row r="123" spans="1:52" s="185" customFormat="1" ht="15" customHeight="1" x14ac:dyDescent="0.25">
      <c r="A123" s="200"/>
      <c r="B123" s="211"/>
      <c r="C123" s="212">
        <f t="shared" si="8"/>
        <v>11.199999999999976</v>
      </c>
      <c r="D123" s="231">
        <f>15+[2]!STEPLOAD(5)</f>
        <v>20</v>
      </c>
      <c r="E123" s="212">
        <f t="shared" si="9"/>
        <v>43.112783545566657</v>
      </c>
      <c r="F123" s="212">
        <f t="shared" si="10"/>
        <v>0.5</v>
      </c>
      <c r="G123" s="212">
        <f>5</f>
        <v>5</v>
      </c>
      <c r="H123" s="212">
        <f>60</f>
        <v>60</v>
      </c>
      <c r="I123" s="212">
        <f t="shared" si="11"/>
        <v>0.9</v>
      </c>
      <c r="J123" s="212">
        <f>1</f>
        <v>1</v>
      </c>
      <c r="K123" s="212">
        <f t="shared" si="12"/>
        <v>4.1870000000000003</v>
      </c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196"/>
      <c r="AD123" s="27"/>
      <c r="AE123" s="213"/>
      <c r="AF123" s="212">
        <f t="shared" si="13"/>
        <v>0.2681341126035921</v>
      </c>
      <c r="AG123" s="212"/>
      <c r="AH123" s="212"/>
      <c r="AI123" s="212"/>
      <c r="AJ123" s="212"/>
      <c r="AK123" s="212"/>
      <c r="AL123" s="212"/>
      <c r="AM123" s="212"/>
      <c r="AN123" s="212"/>
      <c r="AO123" s="212"/>
      <c r="AP123" s="196"/>
      <c r="AQ123" s="196"/>
      <c r="AR123" s="211"/>
      <c r="AS123" s="212"/>
      <c r="AT123" s="212"/>
      <c r="AU123" s="212"/>
      <c r="AW123" s="58"/>
      <c r="AX123" s="58"/>
      <c r="AY123" s="58"/>
      <c r="AZ123" s="58"/>
    </row>
    <row r="124" spans="1:52" s="185" customFormat="1" ht="15" customHeight="1" x14ac:dyDescent="0.25">
      <c r="A124" s="200"/>
      <c r="B124" s="211"/>
      <c r="C124" s="212">
        <f t="shared" si="8"/>
        <v>11.299999999999976</v>
      </c>
      <c r="D124" s="231">
        <f>15+[2]!STEPLOAD(5)</f>
        <v>20</v>
      </c>
      <c r="E124" s="212">
        <f t="shared" si="9"/>
        <v>43.139596956827013</v>
      </c>
      <c r="F124" s="212">
        <f t="shared" si="10"/>
        <v>0.5</v>
      </c>
      <c r="G124" s="212">
        <f>5</f>
        <v>5</v>
      </c>
      <c r="H124" s="212">
        <f>60</f>
        <v>60</v>
      </c>
      <c r="I124" s="212">
        <f t="shared" si="11"/>
        <v>0.9</v>
      </c>
      <c r="J124" s="212">
        <f>1</f>
        <v>1</v>
      </c>
      <c r="K124" s="212">
        <f t="shared" si="12"/>
        <v>4.1870000000000003</v>
      </c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196"/>
      <c r="AD124" s="27"/>
      <c r="AE124" s="213"/>
      <c r="AF124" s="212">
        <f t="shared" si="13"/>
        <v>0.26545277147755675</v>
      </c>
      <c r="AG124" s="212"/>
      <c r="AH124" s="212"/>
      <c r="AI124" s="212"/>
      <c r="AJ124" s="212"/>
      <c r="AK124" s="212"/>
      <c r="AL124" s="212"/>
      <c r="AM124" s="212"/>
      <c r="AN124" s="212"/>
      <c r="AO124" s="212"/>
      <c r="AP124" s="196"/>
      <c r="AQ124" s="196"/>
      <c r="AR124" s="211"/>
      <c r="AS124" s="212"/>
      <c r="AT124" s="212"/>
      <c r="AU124" s="212"/>
      <c r="AW124" s="58"/>
      <c r="AX124" s="58"/>
      <c r="AY124" s="58"/>
      <c r="AZ124" s="58"/>
    </row>
    <row r="125" spans="1:52" s="185" customFormat="1" ht="15" customHeight="1" x14ac:dyDescent="0.25">
      <c r="A125" s="200"/>
      <c r="B125" s="211"/>
      <c r="C125" s="212">
        <f t="shared" si="8"/>
        <v>11.399999999999975</v>
      </c>
      <c r="D125" s="231">
        <f>15+[2]!STEPLOAD(5)</f>
        <v>20</v>
      </c>
      <c r="E125" s="212">
        <f t="shared" si="9"/>
        <v>43.166142233974767</v>
      </c>
      <c r="F125" s="212">
        <f t="shared" si="10"/>
        <v>0.5</v>
      </c>
      <c r="G125" s="212">
        <f>5</f>
        <v>5</v>
      </c>
      <c r="H125" s="212">
        <f>60</f>
        <v>60</v>
      </c>
      <c r="I125" s="212">
        <f t="shared" si="11"/>
        <v>0.9</v>
      </c>
      <c r="J125" s="212">
        <f>1</f>
        <v>1</v>
      </c>
      <c r="K125" s="212">
        <f t="shared" si="12"/>
        <v>4.1870000000000003</v>
      </c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196"/>
      <c r="AD125" s="27"/>
      <c r="AE125" s="213"/>
      <c r="AF125" s="212">
        <f t="shared" si="13"/>
        <v>0.26279824376278116</v>
      </c>
      <c r="AG125" s="212"/>
      <c r="AH125" s="212"/>
      <c r="AI125" s="212"/>
      <c r="AJ125" s="212"/>
      <c r="AK125" s="212"/>
      <c r="AL125" s="212"/>
      <c r="AM125" s="212"/>
      <c r="AN125" s="212"/>
      <c r="AO125" s="212"/>
      <c r="AP125" s="196"/>
      <c r="AQ125" s="196"/>
      <c r="AR125" s="211"/>
      <c r="AS125" s="212"/>
      <c r="AT125" s="212"/>
      <c r="AU125" s="212"/>
      <c r="AW125" s="58"/>
      <c r="AX125" s="58"/>
      <c r="AY125" s="58"/>
      <c r="AZ125" s="58"/>
    </row>
    <row r="126" spans="1:52" s="185" customFormat="1" ht="15" customHeight="1" x14ac:dyDescent="0.25">
      <c r="A126" s="200"/>
      <c r="B126" s="211"/>
      <c r="C126" s="212">
        <f t="shared" si="8"/>
        <v>11.499999999999975</v>
      </c>
      <c r="D126" s="231">
        <f>15+[2]!STEPLOAD(5)</f>
        <v>20</v>
      </c>
      <c r="E126" s="212">
        <f t="shared" si="9"/>
        <v>43.192422058351042</v>
      </c>
      <c r="F126" s="212">
        <f t="shared" si="10"/>
        <v>0.5</v>
      </c>
      <c r="G126" s="212">
        <f>5</f>
        <v>5</v>
      </c>
      <c r="H126" s="212">
        <f>60</f>
        <v>60</v>
      </c>
      <c r="I126" s="212">
        <f t="shared" si="11"/>
        <v>0.9</v>
      </c>
      <c r="J126" s="212">
        <f>1</f>
        <v>1</v>
      </c>
      <c r="K126" s="212">
        <f t="shared" si="12"/>
        <v>4.1870000000000003</v>
      </c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196"/>
      <c r="AD126" s="27"/>
      <c r="AE126" s="213"/>
      <c r="AF126" s="212">
        <f t="shared" si="13"/>
        <v>0.26017026132515397</v>
      </c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196"/>
      <c r="AQ126" s="196"/>
      <c r="AR126" s="211"/>
      <c r="AS126" s="212"/>
      <c r="AT126" s="212"/>
      <c r="AU126" s="212"/>
      <c r="AW126" s="58"/>
      <c r="AX126" s="58"/>
      <c r="AY126" s="58"/>
      <c r="AZ126" s="58"/>
    </row>
    <row r="127" spans="1:52" s="185" customFormat="1" ht="15" customHeight="1" x14ac:dyDescent="0.25">
      <c r="A127" s="200"/>
      <c r="B127" s="211"/>
      <c r="C127" s="212">
        <f t="shared" si="8"/>
        <v>11.599999999999975</v>
      </c>
      <c r="D127" s="231">
        <f>15+[2]!STEPLOAD(5)</f>
        <v>20</v>
      </c>
      <c r="E127" s="212">
        <f t="shared" si="9"/>
        <v>43.218439084483556</v>
      </c>
      <c r="F127" s="212">
        <f t="shared" si="10"/>
        <v>0.5</v>
      </c>
      <c r="G127" s="212">
        <f>5</f>
        <v>5</v>
      </c>
      <c r="H127" s="212">
        <f>60</f>
        <v>60</v>
      </c>
      <c r="I127" s="212">
        <f t="shared" si="11"/>
        <v>0.9</v>
      </c>
      <c r="J127" s="212">
        <f>1</f>
        <v>1</v>
      </c>
      <c r="K127" s="212">
        <f t="shared" si="12"/>
        <v>4.1870000000000003</v>
      </c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196"/>
      <c r="AD127" s="27"/>
      <c r="AE127" s="213"/>
      <c r="AF127" s="212">
        <f t="shared" si="13"/>
        <v>0.25756855871190254</v>
      </c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196"/>
      <c r="AQ127" s="196"/>
      <c r="AR127" s="211"/>
      <c r="AS127" s="212"/>
      <c r="AT127" s="212"/>
      <c r="AU127" s="212"/>
      <c r="AW127" s="58"/>
      <c r="AX127" s="58"/>
      <c r="AY127" s="58"/>
      <c r="AZ127" s="58"/>
    </row>
    <row r="128" spans="1:52" s="185" customFormat="1" ht="15" customHeight="1" x14ac:dyDescent="0.25">
      <c r="A128" s="200"/>
      <c r="B128" s="211"/>
      <c r="C128" s="212">
        <f t="shared" si="8"/>
        <v>11.699999999999974</v>
      </c>
      <c r="D128" s="231">
        <f>15+[2]!STEPLOAD(5)</f>
        <v>20</v>
      </c>
      <c r="E128" s="212">
        <f t="shared" si="9"/>
        <v>43.244195940354743</v>
      </c>
      <c r="F128" s="212">
        <f t="shared" si="10"/>
        <v>0.5</v>
      </c>
      <c r="G128" s="212">
        <f>5</f>
        <v>5</v>
      </c>
      <c r="H128" s="212">
        <f>60</f>
        <v>60</v>
      </c>
      <c r="I128" s="212">
        <f t="shared" si="11"/>
        <v>0.9</v>
      </c>
      <c r="J128" s="212">
        <f>1</f>
        <v>1</v>
      </c>
      <c r="K128" s="212">
        <f t="shared" si="12"/>
        <v>4.1870000000000003</v>
      </c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196"/>
      <c r="AD128" s="27"/>
      <c r="AE128" s="213"/>
      <c r="AF128" s="212">
        <f t="shared" si="13"/>
        <v>0.25499287312478369</v>
      </c>
      <c r="AG128" s="212"/>
      <c r="AH128" s="212"/>
      <c r="AI128" s="212"/>
      <c r="AJ128" s="212"/>
      <c r="AK128" s="212"/>
      <c r="AL128" s="212"/>
      <c r="AM128" s="212"/>
      <c r="AN128" s="212"/>
      <c r="AO128" s="212"/>
      <c r="AP128" s="196"/>
      <c r="AQ128" s="196"/>
      <c r="AR128" s="211"/>
      <c r="AS128" s="212"/>
      <c r="AT128" s="212"/>
      <c r="AU128" s="212"/>
      <c r="AW128" s="58"/>
      <c r="AX128" s="58"/>
      <c r="AY128" s="58"/>
      <c r="AZ128" s="58"/>
    </row>
    <row r="129" spans="1:52" s="185" customFormat="1" ht="15" customHeight="1" x14ac:dyDescent="0.25">
      <c r="A129" s="200"/>
      <c r="B129" s="211"/>
      <c r="C129" s="212">
        <f t="shared" si="8"/>
        <v>11.799999999999974</v>
      </c>
      <c r="D129" s="231">
        <f>15+[2]!STEPLOAD(5)</f>
        <v>20</v>
      </c>
      <c r="E129" s="212">
        <f t="shared" si="9"/>
        <v>43.269695227667221</v>
      </c>
      <c r="F129" s="212">
        <f t="shared" si="10"/>
        <v>0.5</v>
      </c>
      <c r="G129" s="212">
        <f>5</f>
        <v>5</v>
      </c>
      <c r="H129" s="212">
        <f>60</f>
        <v>60</v>
      </c>
      <c r="I129" s="212">
        <f t="shared" si="11"/>
        <v>0.9</v>
      </c>
      <c r="J129" s="212">
        <f>1</f>
        <v>1</v>
      </c>
      <c r="K129" s="212">
        <f t="shared" si="12"/>
        <v>4.1870000000000003</v>
      </c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196"/>
      <c r="AD129" s="27"/>
      <c r="AE129" s="213"/>
      <c r="AF129" s="212">
        <f t="shared" si="13"/>
        <v>0.2524429443935361</v>
      </c>
      <c r="AG129" s="212"/>
      <c r="AH129" s="212"/>
      <c r="AI129" s="212"/>
      <c r="AJ129" s="212"/>
      <c r="AK129" s="212"/>
      <c r="AL129" s="212"/>
      <c r="AM129" s="212"/>
      <c r="AN129" s="212"/>
      <c r="AO129" s="212"/>
      <c r="AP129" s="196"/>
      <c r="AQ129" s="196"/>
      <c r="AR129" s="211"/>
      <c r="AS129" s="212"/>
      <c r="AT129" s="212"/>
      <c r="AU129" s="212"/>
      <c r="AW129" s="58"/>
      <c r="AX129" s="58"/>
      <c r="AY129" s="58"/>
      <c r="AZ129" s="58"/>
    </row>
    <row r="130" spans="1:52" s="185" customFormat="1" ht="15" customHeight="1" x14ac:dyDescent="0.25">
      <c r="A130" s="200"/>
      <c r="B130" s="211"/>
      <c r="C130" s="212">
        <f t="shared" si="8"/>
        <v>11.899999999999974</v>
      </c>
      <c r="D130" s="231">
        <f>15+[2]!STEPLOAD(5)</f>
        <v>20</v>
      </c>
      <c r="E130" s="212">
        <f t="shared" si="9"/>
        <v>43.294939522106574</v>
      </c>
      <c r="F130" s="212">
        <f t="shared" si="10"/>
        <v>0.5</v>
      </c>
      <c r="G130" s="212">
        <f>5</f>
        <v>5</v>
      </c>
      <c r="H130" s="212">
        <f>60</f>
        <v>60</v>
      </c>
      <c r="I130" s="212">
        <f t="shared" si="11"/>
        <v>0.9</v>
      </c>
      <c r="J130" s="212">
        <f>1</f>
        <v>1</v>
      </c>
      <c r="K130" s="212">
        <f t="shared" si="12"/>
        <v>4.1870000000000003</v>
      </c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196"/>
      <c r="AD130" s="27"/>
      <c r="AE130" s="213"/>
      <c r="AF130" s="212">
        <f t="shared" si="13"/>
        <v>0.24991851494960038</v>
      </c>
      <c r="AG130" s="212"/>
      <c r="AH130" s="212"/>
      <c r="AI130" s="212"/>
      <c r="AJ130" s="212"/>
      <c r="AK130" s="212"/>
      <c r="AL130" s="212"/>
      <c r="AM130" s="212"/>
      <c r="AN130" s="212"/>
      <c r="AO130" s="212"/>
      <c r="AP130" s="196"/>
      <c r="AQ130" s="196"/>
      <c r="AR130" s="211"/>
      <c r="AS130" s="212"/>
      <c r="AT130" s="212"/>
      <c r="AU130" s="212"/>
      <c r="AW130" s="58"/>
      <c r="AX130" s="58"/>
      <c r="AY130" s="58"/>
      <c r="AZ130" s="58"/>
    </row>
    <row r="131" spans="1:52" s="185" customFormat="1" ht="15" customHeight="1" x14ac:dyDescent="0.25">
      <c r="A131" s="200"/>
      <c r="B131" s="211"/>
      <c r="C131" s="212">
        <f t="shared" si="8"/>
        <v>11.999999999999973</v>
      </c>
      <c r="D131" s="231">
        <f>15+[2]!STEPLOAD(5)</f>
        <v>20</v>
      </c>
      <c r="E131" s="212">
        <f t="shared" si="9"/>
        <v>43.319931373601534</v>
      </c>
      <c r="F131" s="212">
        <f t="shared" si="10"/>
        <v>0.5</v>
      </c>
      <c r="G131" s="212">
        <f>5</f>
        <v>5</v>
      </c>
      <c r="H131" s="212">
        <f>60</f>
        <v>60</v>
      </c>
      <c r="I131" s="212">
        <f t="shared" si="11"/>
        <v>0.9</v>
      </c>
      <c r="J131" s="212">
        <f>1</f>
        <v>1</v>
      </c>
      <c r="K131" s="212">
        <f t="shared" si="12"/>
        <v>4.1870000000000003</v>
      </c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196"/>
      <c r="AD131" s="27"/>
      <c r="AE131" s="213"/>
      <c r="AF131" s="212">
        <f t="shared" si="13"/>
        <v>0.24741932980010439</v>
      </c>
      <c r="AG131" s="212"/>
      <c r="AH131" s="212"/>
      <c r="AI131" s="212"/>
      <c r="AJ131" s="212"/>
      <c r="AK131" s="212"/>
      <c r="AL131" s="212"/>
      <c r="AM131" s="212"/>
      <c r="AN131" s="212"/>
      <c r="AO131" s="212"/>
      <c r="AP131" s="196"/>
      <c r="AQ131" s="196"/>
      <c r="AR131" s="211"/>
      <c r="AS131" s="212"/>
      <c r="AT131" s="212"/>
      <c r="AU131" s="212"/>
      <c r="AW131" s="58"/>
      <c r="AX131" s="58"/>
      <c r="AY131" s="58"/>
      <c r="AZ131" s="58"/>
    </row>
    <row r="132" spans="1:52" s="185" customFormat="1" ht="15" customHeight="1" x14ac:dyDescent="0.25">
      <c r="A132" s="200"/>
      <c r="B132" s="211"/>
      <c r="C132" s="212">
        <f t="shared" si="8"/>
        <v>12.099999999999973</v>
      </c>
      <c r="D132" s="231">
        <f>15+[2]!STEPLOAD(5)</f>
        <v>20</v>
      </c>
      <c r="E132" s="212">
        <f t="shared" si="9"/>
        <v>43.344673306581548</v>
      </c>
      <c r="F132" s="212">
        <f t="shared" si="10"/>
        <v>0.5</v>
      </c>
      <c r="G132" s="212">
        <f>5</f>
        <v>5</v>
      </c>
      <c r="H132" s="212">
        <f>60</f>
        <v>60</v>
      </c>
      <c r="I132" s="212">
        <f t="shared" si="11"/>
        <v>0.9</v>
      </c>
      <c r="J132" s="212">
        <f>1</f>
        <v>1</v>
      </c>
      <c r="K132" s="212">
        <f t="shared" si="12"/>
        <v>4.1870000000000003</v>
      </c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196"/>
      <c r="AD132" s="27"/>
      <c r="AE132" s="213"/>
      <c r="AF132" s="212">
        <f t="shared" si="13"/>
        <v>0.24494513650210337</v>
      </c>
      <c r="AG132" s="212"/>
      <c r="AH132" s="212"/>
      <c r="AI132" s="212"/>
      <c r="AJ132" s="212"/>
      <c r="AK132" s="212"/>
      <c r="AL132" s="212"/>
      <c r="AM132" s="212"/>
      <c r="AN132" s="212"/>
      <c r="AO132" s="212"/>
      <c r="AP132" s="196"/>
      <c r="AQ132" s="196"/>
      <c r="AR132" s="211"/>
      <c r="AS132" s="212"/>
      <c r="AT132" s="212"/>
      <c r="AU132" s="212"/>
      <c r="AW132" s="58"/>
      <c r="AX132" s="58"/>
      <c r="AY132" s="58"/>
      <c r="AZ132" s="58"/>
    </row>
    <row r="133" spans="1:52" s="185" customFormat="1" ht="15" customHeight="1" x14ac:dyDescent="0.25">
      <c r="A133" s="200"/>
      <c r="B133" s="211"/>
      <c r="C133" s="212">
        <f t="shared" si="8"/>
        <v>12.199999999999973</v>
      </c>
      <c r="D133" s="231">
        <f>15+[2]!STEPLOAD(5)</f>
        <v>20</v>
      </c>
      <c r="E133" s="212">
        <f t="shared" si="9"/>
        <v>43.369167820231759</v>
      </c>
      <c r="F133" s="212">
        <f t="shared" si="10"/>
        <v>0.5</v>
      </c>
      <c r="G133" s="212">
        <f>5</f>
        <v>5</v>
      </c>
      <c r="H133" s="212">
        <f>60</f>
        <v>60</v>
      </c>
      <c r="I133" s="212">
        <f t="shared" si="11"/>
        <v>0.9</v>
      </c>
      <c r="J133" s="212">
        <f>1</f>
        <v>1</v>
      </c>
      <c r="K133" s="212">
        <f t="shared" si="12"/>
        <v>4.1870000000000003</v>
      </c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196"/>
      <c r="AD133" s="27"/>
      <c r="AE133" s="213"/>
      <c r="AF133" s="212">
        <f t="shared" si="13"/>
        <v>0.24249568513708208</v>
      </c>
      <c r="AG133" s="212"/>
      <c r="AH133" s="212"/>
      <c r="AI133" s="212"/>
      <c r="AJ133" s="212"/>
      <c r="AK133" s="212"/>
      <c r="AL133" s="212"/>
      <c r="AM133" s="212"/>
      <c r="AN133" s="212"/>
      <c r="AO133" s="212"/>
      <c r="AP133" s="196"/>
      <c r="AQ133" s="196"/>
      <c r="AR133" s="211"/>
      <c r="AS133" s="212"/>
      <c r="AT133" s="212"/>
      <c r="AU133" s="212"/>
      <c r="AW133" s="58"/>
      <c r="AX133" s="58"/>
      <c r="AY133" s="58"/>
      <c r="AZ133" s="58"/>
    </row>
    <row r="134" spans="1:52" s="185" customFormat="1" ht="15" customHeight="1" x14ac:dyDescent="0.25">
      <c r="A134" s="200"/>
      <c r="B134" s="211"/>
      <c r="C134" s="212">
        <f t="shared" si="8"/>
        <v>12.299999999999972</v>
      </c>
      <c r="D134" s="231">
        <f>15+[2]!STEPLOAD(5)</f>
        <v>20</v>
      </c>
      <c r="E134" s="212">
        <f t="shared" si="9"/>
        <v>43.393417388745469</v>
      </c>
      <c r="F134" s="212">
        <f t="shared" si="10"/>
        <v>0.5</v>
      </c>
      <c r="G134" s="212">
        <f>5</f>
        <v>5</v>
      </c>
      <c r="H134" s="212">
        <f>60</f>
        <v>60</v>
      </c>
      <c r="I134" s="212">
        <f t="shared" si="11"/>
        <v>0.9</v>
      </c>
      <c r="J134" s="212">
        <f>1</f>
        <v>1</v>
      </c>
      <c r="K134" s="212">
        <f t="shared" si="12"/>
        <v>4.1870000000000003</v>
      </c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196"/>
      <c r="AD134" s="27"/>
      <c r="AE134" s="213"/>
      <c r="AF134" s="212">
        <f t="shared" si="13"/>
        <v>0.24007072828571108</v>
      </c>
      <c r="AG134" s="212"/>
      <c r="AH134" s="212"/>
      <c r="AI134" s="212"/>
      <c r="AJ134" s="212"/>
      <c r="AK134" s="212"/>
      <c r="AL134" s="212"/>
      <c r="AM134" s="212"/>
      <c r="AN134" s="212"/>
      <c r="AO134" s="212"/>
      <c r="AP134" s="196"/>
      <c r="AQ134" s="196"/>
      <c r="AR134" s="211"/>
      <c r="AS134" s="212"/>
      <c r="AT134" s="212"/>
      <c r="AU134" s="212"/>
      <c r="AW134" s="58"/>
      <c r="AX134" s="58"/>
      <c r="AY134" s="58"/>
      <c r="AZ134" s="58"/>
    </row>
    <row r="135" spans="1:52" s="185" customFormat="1" ht="15" customHeight="1" x14ac:dyDescent="0.25">
      <c r="A135" s="200"/>
      <c r="B135" s="211"/>
      <c r="C135" s="212">
        <f t="shared" si="8"/>
        <v>12.399999999999972</v>
      </c>
      <c r="D135" s="231">
        <f>15+[2]!STEPLOAD(5)</f>
        <v>20</v>
      </c>
      <c r="E135" s="212">
        <f t="shared" si="9"/>
        <v>43.417424461574043</v>
      </c>
      <c r="F135" s="212">
        <f t="shared" si="10"/>
        <v>0.5</v>
      </c>
      <c r="G135" s="212">
        <f>5</f>
        <v>5</v>
      </c>
      <c r="H135" s="212">
        <f>60</f>
        <v>60</v>
      </c>
      <c r="I135" s="212">
        <f t="shared" si="11"/>
        <v>0.9</v>
      </c>
      <c r="J135" s="212">
        <f>1</f>
        <v>1</v>
      </c>
      <c r="K135" s="212">
        <f t="shared" si="12"/>
        <v>4.1870000000000003</v>
      </c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196"/>
      <c r="AD135" s="27"/>
      <c r="AE135" s="213"/>
      <c r="AF135" s="212">
        <f t="shared" si="13"/>
        <v>0.23767002100285373</v>
      </c>
      <c r="AG135" s="212"/>
      <c r="AH135" s="212"/>
      <c r="AI135" s="212"/>
      <c r="AJ135" s="212"/>
      <c r="AK135" s="212"/>
      <c r="AL135" s="212"/>
      <c r="AM135" s="212"/>
      <c r="AN135" s="212"/>
      <c r="AO135" s="212"/>
      <c r="AP135" s="196"/>
      <c r="AQ135" s="196"/>
      <c r="AR135" s="211"/>
      <c r="AS135" s="212"/>
      <c r="AT135" s="212"/>
      <c r="AU135" s="212"/>
      <c r="AW135" s="58"/>
      <c r="AX135" s="58"/>
      <c r="AY135" s="58"/>
      <c r="AZ135" s="58"/>
    </row>
    <row r="136" spans="1:52" s="185" customFormat="1" ht="15" customHeight="1" x14ac:dyDescent="0.25">
      <c r="A136" s="200"/>
      <c r="B136" s="211"/>
      <c r="C136" s="212">
        <f t="shared" si="8"/>
        <v>12.499999999999972</v>
      </c>
      <c r="D136" s="231">
        <f>15+[2]!STEPLOAD(5)</f>
        <v>20</v>
      </c>
      <c r="E136" s="212">
        <f t="shared" si="9"/>
        <v>43.441191463674329</v>
      </c>
      <c r="F136" s="212">
        <f t="shared" si="10"/>
        <v>0.5</v>
      </c>
      <c r="G136" s="212">
        <f>5</f>
        <v>5</v>
      </c>
      <c r="H136" s="212">
        <f>60</f>
        <v>60</v>
      </c>
      <c r="I136" s="212">
        <f t="shared" si="11"/>
        <v>0.9</v>
      </c>
      <c r="J136" s="212">
        <f>1</f>
        <v>1</v>
      </c>
      <c r="K136" s="212">
        <f t="shared" si="12"/>
        <v>4.1870000000000003</v>
      </c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196"/>
      <c r="AD136" s="27"/>
      <c r="AE136" s="213"/>
      <c r="AF136" s="212">
        <f t="shared" si="13"/>
        <v>0.23529332079282517</v>
      </c>
      <c r="AG136" s="212"/>
      <c r="AH136" s="212"/>
      <c r="AI136" s="212"/>
      <c r="AJ136" s="212"/>
      <c r="AK136" s="212"/>
      <c r="AL136" s="212"/>
      <c r="AM136" s="212"/>
      <c r="AN136" s="212"/>
      <c r="AO136" s="212"/>
      <c r="AP136" s="196"/>
      <c r="AQ136" s="196"/>
      <c r="AR136" s="211"/>
      <c r="AS136" s="212"/>
      <c r="AT136" s="212"/>
      <c r="AU136" s="212"/>
      <c r="AW136" s="58"/>
      <c r="AX136" s="58"/>
      <c r="AY136" s="58"/>
      <c r="AZ136" s="58"/>
    </row>
    <row r="137" spans="1:52" s="185" customFormat="1" ht="15" customHeight="1" x14ac:dyDescent="0.25">
      <c r="A137" s="200"/>
      <c r="B137" s="211"/>
      <c r="C137" s="212">
        <f t="shared" si="8"/>
        <v>12.599999999999971</v>
      </c>
      <c r="D137" s="231">
        <f>15+[2]!STEPLOAD(5)</f>
        <v>20</v>
      </c>
      <c r="E137" s="212">
        <f t="shared" si="9"/>
        <v>43.464720795753614</v>
      </c>
      <c r="F137" s="212">
        <f t="shared" si="10"/>
        <v>0.5</v>
      </c>
      <c r="G137" s="212">
        <f>5</f>
        <v>5</v>
      </c>
      <c r="H137" s="212">
        <f>60</f>
        <v>60</v>
      </c>
      <c r="I137" s="212">
        <f t="shared" si="11"/>
        <v>0.9</v>
      </c>
      <c r="J137" s="212">
        <f>1</f>
        <v>1</v>
      </c>
      <c r="K137" s="212">
        <f t="shared" si="12"/>
        <v>4.1870000000000003</v>
      </c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196"/>
      <c r="AD137" s="27"/>
      <c r="AE137" s="213"/>
      <c r="AF137" s="212">
        <f t="shared" si="13"/>
        <v>0.23294038758489677</v>
      </c>
      <c r="AG137" s="212"/>
      <c r="AH137" s="212"/>
      <c r="AI137" s="212"/>
      <c r="AJ137" s="212"/>
      <c r="AK137" s="212"/>
      <c r="AL137" s="212"/>
      <c r="AM137" s="212"/>
      <c r="AN137" s="212"/>
      <c r="AO137" s="212"/>
      <c r="AP137" s="196"/>
      <c r="AQ137" s="196"/>
      <c r="AR137" s="211"/>
      <c r="AS137" s="212"/>
      <c r="AT137" s="212"/>
      <c r="AU137" s="212"/>
      <c r="AW137" s="58"/>
      <c r="AX137" s="58"/>
      <c r="AY137" s="58"/>
      <c r="AZ137" s="58"/>
    </row>
    <row r="138" spans="1:52" s="185" customFormat="1" ht="15" customHeight="1" x14ac:dyDescent="0.25">
      <c r="A138" s="200"/>
      <c r="B138" s="211"/>
      <c r="C138" s="212">
        <f t="shared" si="8"/>
        <v>12.699999999999971</v>
      </c>
      <c r="D138" s="231">
        <f>15+[2]!STEPLOAD(5)</f>
        <v>20</v>
      </c>
      <c r="E138" s="212">
        <f t="shared" si="9"/>
        <v>43.4880148345121</v>
      </c>
      <c r="F138" s="212">
        <f t="shared" si="10"/>
        <v>0.5</v>
      </c>
      <c r="G138" s="212">
        <f>5</f>
        <v>5</v>
      </c>
      <c r="H138" s="212">
        <f>60</f>
        <v>60</v>
      </c>
      <c r="I138" s="212">
        <f t="shared" si="11"/>
        <v>0.9</v>
      </c>
      <c r="J138" s="212">
        <f>1</f>
        <v>1</v>
      </c>
      <c r="K138" s="212">
        <f t="shared" si="12"/>
        <v>4.1870000000000003</v>
      </c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196"/>
      <c r="AD138" s="27"/>
      <c r="AE138" s="213"/>
      <c r="AF138" s="212">
        <f t="shared" si="13"/>
        <v>0.23061098370904798</v>
      </c>
      <c r="AG138" s="212"/>
      <c r="AH138" s="212"/>
      <c r="AI138" s="212"/>
      <c r="AJ138" s="212"/>
      <c r="AK138" s="212"/>
      <c r="AL138" s="212"/>
      <c r="AM138" s="212"/>
      <c r="AN138" s="212"/>
      <c r="AO138" s="212"/>
      <c r="AP138" s="196"/>
      <c r="AQ138" s="196"/>
      <c r="AR138" s="211"/>
      <c r="AS138" s="212"/>
      <c r="AT138" s="212"/>
      <c r="AU138" s="212"/>
      <c r="AW138" s="58"/>
      <c r="AX138" s="58"/>
      <c r="AY138" s="58"/>
      <c r="AZ138" s="58"/>
    </row>
    <row r="139" spans="1:52" s="185" customFormat="1" ht="15" customHeight="1" x14ac:dyDescent="0.25">
      <c r="A139" s="200"/>
      <c r="B139" s="211"/>
      <c r="C139" s="212">
        <f t="shared" si="8"/>
        <v>12.799999999999971</v>
      </c>
      <c r="D139" s="231">
        <f>15+[2]!STEPLOAD(5)</f>
        <v>20</v>
      </c>
      <c r="E139" s="212">
        <f t="shared" si="9"/>
        <v>43.511075932883003</v>
      </c>
      <c r="F139" s="212">
        <f t="shared" si="10"/>
        <v>0.5</v>
      </c>
      <c r="G139" s="212">
        <f>5</f>
        <v>5</v>
      </c>
      <c r="H139" s="212">
        <f>60</f>
        <v>60</v>
      </c>
      <c r="I139" s="212">
        <f t="shared" si="11"/>
        <v>0.9</v>
      </c>
      <c r="J139" s="212">
        <f>1</f>
        <v>1</v>
      </c>
      <c r="K139" s="212">
        <f t="shared" si="12"/>
        <v>4.1870000000000003</v>
      </c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  <c r="AA139" s="212"/>
      <c r="AB139" s="212"/>
      <c r="AC139" s="196"/>
      <c r="AD139" s="27"/>
      <c r="AE139" s="213"/>
      <c r="AF139" s="212">
        <f t="shared" si="13"/>
        <v>0.22830487387195753</v>
      </c>
      <c r="AG139" s="212"/>
      <c r="AH139" s="212"/>
      <c r="AI139" s="212"/>
      <c r="AJ139" s="212"/>
      <c r="AK139" s="212"/>
      <c r="AL139" s="212"/>
      <c r="AM139" s="212"/>
      <c r="AN139" s="212"/>
      <c r="AO139" s="212"/>
      <c r="AP139" s="196"/>
      <c r="AQ139" s="196"/>
      <c r="AR139" s="211"/>
      <c r="AS139" s="212"/>
      <c r="AT139" s="212"/>
      <c r="AU139" s="212"/>
      <c r="AW139" s="58"/>
      <c r="AX139" s="58"/>
      <c r="AY139" s="58"/>
      <c r="AZ139" s="58"/>
    </row>
    <row r="140" spans="1:52" s="185" customFormat="1" ht="15" customHeight="1" x14ac:dyDescent="0.25">
      <c r="A140" s="200"/>
      <c r="B140" s="211"/>
      <c r="C140" s="212">
        <f t="shared" ref="C140:C203" si="14">C139+IntegrationStep</f>
        <v>12.89999999999997</v>
      </c>
      <c r="D140" s="231">
        <f>15+[2]!STEPLOAD(5)</f>
        <v>20</v>
      </c>
      <c r="E140" s="212">
        <f t="shared" si="9"/>
        <v>43.533906420270199</v>
      </c>
      <c r="F140" s="212">
        <f t="shared" si="10"/>
        <v>0.5</v>
      </c>
      <c r="G140" s="212">
        <f>5</f>
        <v>5</v>
      </c>
      <c r="H140" s="212">
        <f>60</f>
        <v>60</v>
      </c>
      <c r="I140" s="212">
        <f t="shared" si="11"/>
        <v>0.9</v>
      </c>
      <c r="J140" s="212">
        <f>1</f>
        <v>1</v>
      </c>
      <c r="K140" s="212">
        <f t="shared" si="12"/>
        <v>4.1870000000000003</v>
      </c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  <c r="AA140" s="212"/>
      <c r="AB140" s="212"/>
      <c r="AC140" s="196"/>
      <c r="AD140" s="27"/>
      <c r="AE140" s="213"/>
      <c r="AF140" s="212">
        <f t="shared" si="13"/>
        <v>0.22602182513323799</v>
      </c>
      <c r="AG140" s="212"/>
      <c r="AH140" s="212"/>
      <c r="AI140" s="212"/>
      <c r="AJ140" s="212"/>
      <c r="AK140" s="212"/>
      <c r="AL140" s="212"/>
      <c r="AM140" s="212"/>
      <c r="AN140" s="212"/>
      <c r="AO140" s="212"/>
      <c r="AP140" s="196"/>
      <c r="AQ140" s="196"/>
      <c r="AR140" s="211"/>
      <c r="AS140" s="212"/>
      <c r="AT140" s="212"/>
      <c r="AU140" s="212"/>
      <c r="AW140" s="58"/>
      <c r="AX140" s="58"/>
      <c r="AY140" s="58"/>
      <c r="AZ140" s="58"/>
    </row>
    <row r="141" spans="1:52" s="185" customFormat="1" ht="15" customHeight="1" x14ac:dyDescent="0.25">
      <c r="A141" s="200"/>
      <c r="B141" s="211"/>
      <c r="C141" s="212">
        <f t="shared" si="14"/>
        <v>12.99999999999997</v>
      </c>
      <c r="D141" s="231">
        <f>15+[2]!STEPLOAD(5)</f>
        <v>20</v>
      </c>
      <c r="E141" s="212">
        <f t="shared" ref="E141:E204" si="15">E140+(C141-C140)*AF140</f>
        <v>43.556508602783524</v>
      </c>
      <c r="F141" s="212">
        <f t="shared" ref="F141:F204" si="16">0.5</f>
        <v>0.5</v>
      </c>
      <c r="G141" s="212">
        <f>5</f>
        <v>5</v>
      </c>
      <c r="H141" s="212">
        <f>60</f>
        <v>60</v>
      </c>
      <c r="I141" s="212">
        <f t="shared" ref="I141:I204" si="17">0.9</f>
        <v>0.9</v>
      </c>
      <c r="J141" s="212">
        <f>1</f>
        <v>1</v>
      </c>
      <c r="K141" s="212">
        <f t="shared" ref="K141:K204" si="18">4.187</f>
        <v>4.1870000000000003</v>
      </c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196"/>
      <c r="AD141" s="27"/>
      <c r="AE141" s="213"/>
      <c r="AF141" s="212">
        <f t="shared" ref="AF141:AF204" si="19">F141/G141*(D141-E141)+H141*I141/G141/J141/K141</f>
        <v>0.22376160688190572</v>
      </c>
      <c r="AG141" s="212"/>
      <c r="AH141" s="212"/>
      <c r="AI141" s="212"/>
      <c r="AJ141" s="212"/>
      <c r="AK141" s="212"/>
      <c r="AL141" s="212"/>
      <c r="AM141" s="212"/>
      <c r="AN141" s="212"/>
      <c r="AO141" s="212"/>
      <c r="AP141" s="196"/>
      <c r="AQ141" s="196"/>
      <c r="AR141" s="211"/>
      <c r="AS141" s="212"/>
      <c r="AT141" s="212"/>
      <c r="AU141" s="212"/>
      <c r="AW141" s="58"/>
      <c r="AX141" s="58"/>
      <c r="AY141" s="58"/>
      <c r="AZ141" s="58"/>
    </row>
    <row r="142" spans="1:52" s="185" customFormat="1" ht="15" customHeight="1" x14ac:dyDescent="0.25">
      <c r="A142" s="200"/>
      <c r="B142" s="211"/>
      <c r="C142" s="212">
        <f t="shared" si="14"/>
        <v>13.099999999999969</v>
      </c>
      <c r="D142" s="231">
        <f>15+[2]!STEPLOAD(5)</f>
        <v>20</v>
      </c>
      <c r="E142" s="212">
        <f t="shared" si="15"/>
        <v>43.578884763471713</v>
      </c>
      <c r="F142" s="212">
        <f t="shared" si="16"/>
        <v>0.5</v>
      </c>
      <c r="G142" s="212">
        <f>5</f>
        <v>5</v>
      </c>
      <c r="H142" s="212">
        <f>60</f>
        <v>60</v>
      </c>
      <c r="I142" s="212">
        <f t="shared" si="17"/>
        <v>0.9</v>
      </c>
      <c r="J142" s="212">
        <f>1</f>
        <v>1</v>
      </c>
      <c r="K142" s="212">
        <f t="shared" si="18"/>
        <v>4.1870000000000003</v>
      </c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  <c r="AA142" s="212"/>
      <c r="AB142" s="212"/>
      <c r="AC142" s="196"/>
      <c r="AD142" s="27"/>
      <c r="AE142" s="213"/>
      <c r="AF142" s="212">
        <f t="shared" si="19"/>
        <v>0.2215239908130866</v>
      </c>
      <c r="AG142" s="212"/>
      <c r="AH142" s="212"/>
      <c r="AI142" s="212"/>
      <c r="AJ142" s="212"/>
      <c r="AK142" s="212"/>
      <c r="AL142" s="212"/>
      <c r="AM142" s="212"/>
      <c r="AN142" s="212"/>
      <c r="AO142" s="212"/>
      <c r="AP142" s="196"/>
      <c r="AQ142" s="196"/>
      <c r="AR142" s="211"/>
      <c r="AS142" s="212"/>
      <c r="AT142" s="212"/>
      <c r="AU142" s="212"/>
      <c r="AW142" s="58"/>
      <c r="AX142" s="58"/>
      <c r="AY142" s="58"/>
      <c r="AZ142" s="58"/>
    </row>
    <row r="143" spans="1:52" s="185" customFormat="1" ht="15" customHeight="1" x14ac:dyDescent="0.25">
      <c r="A143" s="200"/>
      <c r="B143" s="211"/>
      <c r="C143" s="212">
        <f t="shared" si="14"/>
        <v>13.199999999999969</v>
      </c>
      <c r="D143" s="231">
        <f>15+[2]!STEPLOAD(5)</f>
        <v>20</v>
      </c>
      <c r="E143" s="212">
        <f t="shared" si="15"/>
        <v>43.60103716255302</v>
      </c>
      <c r="F143" s="212">
        <f t="shared" si="16"/>
        <v>0.5</v>
      </c>
      <c r="G143" s="212">
        <f>5</f>
        <v>5</v>
      </c>
      <c r="H143" s="212">
        <f>60</f>
        <v>60</v>
      </c>
      <c r="I143" s="212">
        <f t="shared" si="17"/>
        <v>0.9</v>
      </c>
      <c r="J143" s="212">
        <f>1</f>
        <v>1</v>
      </c>
      <c r="K143" s="212">
        <f t="shared" si="18"/>
        <v>4.1870000000000003</v>
      </c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  <c r="AA143" s="212"/>
      <c r="AB143" s="212"/>
      <c r="AC143" s="196"/>
      <c r="AD143" s="27"/>
      <c r="AE143" s="213"/>
      <c r="AF143" s="212">
        <f t="shared" si="19"/>
        <v>0.21930875090495583</v>
      </c>
      <c r="AG143" s="212"/>
      <c r="AH143" s="212"/>
      <c r="AI143" s="212"/>
      <c r="AJ143" s="212"/>
      <c r="AK143" s="212"/>
      <c r="AL143" s="212"/>
      <c r="AM143" s="212"/>
      <c r="AN143" s="212"/>
      <c r="AO143" s="212"/>
      <c r="AP143" s="196"/>
      <c r="AQ143" s="196"/>
      <c r="AR143" s="211"/>
      <c r="AS143" s="212"/>
      <c r="AT143" s="212"/>
      <c r="AU143" s="212"/>
      <c r="AW143" s="58"/>
      <c r="AX143" s="58"/>
      <c r="AY143" s="58"/>
      <c r="AZ143" s="58"/>
    </row>
    <row r="144" spans="1:52" s="185" customFormat="1" ht="15" customHeight="1" x14ac:dyDescent="0.25">
      <c r="A144" s="200"/>
      <c r="B144" s="211"/>
      <c r="C144" s="212">
        <f t="shared" si="14"/>
        <v>13.299999999999969</v>
      </c>
      <c r="D144" s="231">
        <f>15+[2]!STEPLOAD(5)</f>
        <v>20</v>
      </c>
      <c r="E144" s="212">
        <f t="shared" si="15"/>
        <v>43.622968037643517</v>
      </c>
      <c r="F144" s="212">
        <f t="shared" si="16"/>
        <v>0.5</v>
      </c>
      <c r="G144" s="212">
        <f>5</f>
        <v>5</v>
      </c>
      <c r="H144" s="212">
        <f>60</f>
        <v>60</v>
      </c>
      <c r="I144" s="212">
        <f t="shared" si="17"/>
        <v>0.9</v>
      </c>
      <c r="J144" s="212">
        <f>1</f>
        <v>1</v>
      </c>
      <c r="K144" s="212">
        <f t="shared" si="18"/>
        <v>4.1870000000000003</v>
      </c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  <c r="AA144" s="212"/>
      <c r="AB144" s="212"/>
      <c r="AC144" s="196"/>
      <c r="AD144" s="27"/>
      <c r="AE144" s="213"/>
      <c r="AF144" s="212">
        <f t="shared" si="19"/>
        <v>0.21711566339590638</v>
      </c>
      <c r="AG144" s="212"/>
      <c r="AH144" s="212"/>
      <c r="AI144" s="212"/>
      <c r="AJ144" s="212"/>
      <c r="AK144" s="212"/>
      <c r="AL144" s="212"/>
      <c r="AM144" s="212"/>
      <c r="AN144" s="212"/>
      <c r="AO144" s="212"/>
      <c r="AP144" s="196"/>
      <c r="AQ144" s="196"/>
      <c r="AR144" s="211"/>
      <c r="AS144" s="212"/>
      <c r="AT144" s="212"/>
      <c r="AU144" s="212"/>
      <c r="AW144" s="58"/>
      <c r="AX144" s="58"/>
      <c r="AY144" s="58"/>
      <c r="AZ144" s="58"/>
    </row>
    <row r="145" spans="1:52" s="185" customFormat="1" ht="15" customHeight="1" x14ac:dyDescent="0.25">
      <c r="A145" s="200"/>
      <c r="B145" s="211"/>
      <c r="C145" s="212">
        <f t="shared" si="14"/>
        <v>13.399999999999968</v>
      </c>
      <c r="D145" s="231">
        <f>15+[2]!STEPLOAD(5)</f>
        <v>20</v>
      </c>
      <c r="E145" s="212">
        <f t="shared" si="15"/>
        <v>43.644679603983107</v>
      </c>
      <c r="F145" s="212">
        <f t="shared" si="16"/>
        <v>0.5</v>
      </c>
      <c r="G145" s="212">
        <f>5</f>
        <v>5</v>
      </c>
      <c r="H145" s="212">
        <f>60</f>
        <v>60</v>
      </c>
      <c r="I145" s="212">
        <f t="shared" si="17"/>
        <v>0.9</v>
      </c>
      <c r="J145" s="212">
        <f>1</f>
        <v>1</v>
      </c>
      <c r="K145" s="212">
        <f t="shared" si="18"/>
        <v>4.1870000000000003</v>
      </c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  <c r="AA145" s="212"/>
      <c r="AB145" s="212"/>
      <c r="AC145" s="196"/>
      <c r="AD145" s="27"/>
      <c r="AE145" s="213"/>
      <c r="AF145" s="212">
        <f t="shared" si="19"/>
        <v>0.2149445067619471</v>
      </c>
      <c r="AG145" s="212"/>
      <c r="AH145" s="212"/>
      <c r="AI145" s="212"/>
      <c r="AJ145" s="212"/>
      <c r="AK145" s="212"/>
      <c r="AL145" s="212"/>
      <c r="AM145" s="212"/>
      <c r="AN145" s="212"/>
      <c r="AO145" s="212"/>
      <c r="AP145" s="196"/>
      <c r="AQ145" s="196"/>
      <c r="AR145" s="211"/>
      <c r="AS145" s="212"/>
      <c r="AT145" s="212"/>
      <c r="AU145" s="212"/>
      <c r="AW145" s="58"/>
      <c r="AX145" s="58"/>
      <c r="AY145" s="58"/>
      <c r="AZ145" s="58"/>
    </row>
    <row r="146" spans="1:52" s="185" customFormat="1" ht="15" customHeight="1" x14ac:dyDescent="0.25">
      <c r="A146" s="200"/>
      <c r="B146" s="211"/>
      <c r="C146" s="212">
        <f t="shared" si="14"/>
        <v>13.499999999999968</v>
      </c>
      <c r="D146" s="231">
        <f>15+[2]!STEPLOAD(5)</f>
        <v>20</v>
      </c>
      <c r="E146" s="212">
        <f t="shared" si="15"/>
        <v>43.666174054659301</v>
      </c>
      <c r="F146" s="212">
        <f t="shared" si="16"/>
        <v>0.5</v>
      </c>
      <c r="G146" s="212">
        <f>5</f>
        <v>5</v>
      </c>
      <c r="H146" s="212">
        <f>60</f>
        <v>60</v>
      </c>
      <c r="I146" s="212">
        <f t="shared" si="17"/>
        <v>0.9</v>
      </c>
      <c r="J146" s="212">
        <f>1</f>
        <v>1</v>
      </c>
      <c r="K146" s="212">
        <f t="shared" si="18"/>
        <v>4.1870000000000003</v>
      </c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196"/>
      <c r="AD146" s="27"/>
      <c r="AE146" s="213"/>
      <c r="AF146" s="212">
        <f t="shared" si="19"/>
        <v>0.21279506169432771</v>
      </c>
      <c r="AG146" s="212"/>
      <c r="AH146" s="212"/>
      <c r="AI146" s="212"/>
      <c r="AJ146" s="212"/>
      <c r="AK146" s="212"/>
      <c r="AL146" s="212"/>
      <c r="AM146" s="212"/>
      <c r="AN146" s="212"/>
      <c r="AO146" s="212"/>
      <c r="AP146" s="196"/>
      <c r="AQ146" s="196"/>
      <c r="AR146" s="211"/>
      <c r="AS146" s="212"/>
      <c r="AT146" s="212"/>
      <c r="AU146" s="212"/>
      <c r="AW146" s="58"/>
      <c r="AX146" s="58"/>
      <c r="AY146" s="58"/>
      <c r="AZ146" s="58"/>
    </row>
    <row r="147" spans="1:52" s="185" customFormat="1" ht="15" customHeight="1" x14ac:dyDescent="0.25">
      <c r="A147" s="200"/>
      <c r="B147" s="211"/>
      <c r="C147" s="212">
        <f t="shared" si="14"/>
        <v>13.599999999999968</v>
      </c>
      <c r="D147" s="231">
        <f>15+[2]!STEPLOAD(5)</f>
        <v>20</v>
      </c>
      <c r="E147" s="212">
        <f t="shared" si="15"/>
        <v>43.687453560828736</v>
      </c>
      <c r="F147" s="212">
        <f t="shared" si="16"/>
        <v>0.5</v>
      </c>
      <c r="G147" s="212">
        <f>5</f>
        <v>5</v>
      </c>
      <c r="H147" s="212">
        <f>60</f>
        <v>60</v>
      </c>
      <c r="I147" s="212">
        <f t="shared" si="17"/>
        <v>0.9</v>
      </c>
      <c r="J147" s="212">
        <f>1</f>
        <v>1</v>
      </c>
      <c r="K147" s="212">
        <f t="shared" si="18"/>
        <v>4.1870000000000003</v>
      </c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  <c r="AA147" s="212"/>
      <c r="AB147" s="212"/>
      <c r="AC147" s="196"/>
      <c r="AD147" s="27"/>
      <c r="AE147" s="213"/>
      <c r="AF147" s="212">
        <f t="shared" si="19"/>
        <v>0.21066711107738456</v>
      </c>
      <c r="AG147" s="212"/>
      <c r="AH147" s="212"/>
      <c r="AI147" s="212"/>
      <c r="AJ147" s="212"/>
      <c r="AK147" s="212"/>
      <c r="AL147" s="212"/>
      <c r="AM147" s="212"/>
      <c r="AN147" s="212"/>
      <c r="AO147" s="212"/>
      <c r="AP147" s="196"/>
      <c r="AQ147" s="196"/>
      <c r="AR147" s="211"/>
      <c r="AS147" s="212"/>
      <c r="AT147" s="212"/>
      <c r="AU147" s="212"/>
      <c r="AW147" s="58"/>
      <c r="AX147" s="58"/>
      <c r="AY147" s="58"/>
      <c r="AZ147" s="58"/>
    </row>
    <row r="148" spans="1:52" s="185" customFormat="1" ht="15" customHeight="1" x14ac:dyDescent="0.25">
      <c r="A148" s="200"/>
      <c r="B148" s="211"/>
      <c r="C148" s="212">
        <f t="shared" si="14"/>
        <v>13.699999999999967</v>
      </c>
      <c r="D148" s="231">
        <f>15+[2]!STEPLOAD(5)</f>
        <v>20</v>
      </c>
      <c r="E148" s="212">
        <f t="shared" si="15"/>
        <v>43.708520271936472</v>
      </c>
      <c r="F148" s="212">
        <f t="shared" si="16"/>
        <v>0.5</v>
      </c>
      <c r="G148" s="212">
        <f>5</f>
        <v>5</v>
      </c>
      <c r="H148" s="212">
        <f>60</f>
        <v>60</v>
      </c>
      <c r="I148" s="212">
        <f t="shared" si="17"/>
        <v>0.9</v>
      </c>
      <c r="J148" s="212">
        <f>1</f>
        <v>1</v>
      </c>
      <c r="K148" s="212">
        <f t="shared" si="18"/>
        <v>4.1870000000000003</v>
      </c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196"/>
      <c r="AD148" s="27"/>
      <c r="AE148" s="213"/>
      <c r="AF148" s="212">
        <f t="shared" si="19"/>
        <v>0.208560439966611</v>
      </c>
      <c r="AG148" s="212"/>
      <c r="AH148" s="212"/>
      <c r="AI148" s="212"/>
      <c r="AJ148" s="212"/>
      <c r="AK148" s="212"/>
      <c r="AL148" s="212"/>
      <c r="AM148" s="212"/>
      <c r="AN148" s="212"/>
      <c r="AO148" s="212"/>
      <c r="AP148" s="196"/>
      <c r="AQ148" s="196"/>
      <c r="AR148" s="211"/>
      <c r="AS148" s="212"/>
      <c r="AT148" s="212"/>
      <c r="AU148" s="212"/>
      <c r="AW148" s="58"/>
      <c r="AX148" s="58"/>
      <c r="AY148" s="58"/>
      <c r="AZ148" s="58"/>
    </row>
    <row r="149" spans="1:52" s="185" customFormat="1" ht="15" customHeight="1" x14ac:dyDescent="0.25">
      <c r="A149" s="200"/>
      <c r="B149" s="211"/>
      <c r="C149" s="212">
        <f t="shared" si="14"/>
        <v>13.799999999999967</v>
      </c>
      <c r="D149" s="231">
        <f>15+[2]!STEPLOAD(5)</f>
        <v>20</v>
      </c>
      <c r="E149" s="212">
        <f t="shared" si="15"/>
        <v>43.729376315933131</v>
      </c>
      <c r="F149" s="212">
        <f t="shared" si="16"/>
        <v>0.5</v>
      </c>
      <c r="G149" s="212">
        <f>5</f>
        <v>5</v>
      </c>
      <c r="H149" s="212">
        <f>60</f>
        <v>60</v>
      </c>
      <c r="I149" s="212">
        <f t="shared" si="17"/>
        <v>0.9</v>
      </c>
      <c r="J149" s="212">
        <f>1</f>
        <v>1</v>
      </c>
      <c r="K149" s="212">
        <f t="shared" si="18"/>
        <v>4.1870000000000003</v>
      </c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212"/>
      <c r="AC149" s="196"/>
      <c r="AD149" s="27"/>
      <c r="AE149" s="213"/>
      <c r="AF149" s="212">
        <f t="shared" si="19"/>
        <v>0.20647483556694501</v>
      </c>
      <c r="AG149" s="212"/>
      <c r="AH149" s="212"/>
      <c r="AI149" s="212"/>
      <c r="AJ149" s="212"/>
      <c r="AK149" s="212"/>
      <c r="AL149" s="212"/>
      <c r="AM149" s="212"/>
      <c r="AN149" s="212"/>
      <c r="AO149" s="212"/>
      <c r="AP149" s="196"/>
      <c r="AQ149" s="196"/>
      <c r="AR149" s="211"/>
      <c r="AS149" s="212"/>
      <c r="AT149" s="212"/>
      <c r="AU149" s="212"/>
      <c r="AW149" s="58"/>
      <c r="AX149" s="58"/>
      <c r="AY149" s="58"/>
      <c r="AZ149" s="58"/>
    </row>
    <row r="150" spans="1:52" s="185" customFormat="1" ht="15" customHeight="1" x14ac:dyDescent="0.25">
      <c r="A150" s="200"/>
      <c r="B150" s="211"/>
      <c r="C150" s="212">
        <f t="shared" si="14"/>
        <v>13.899999999999967</v>
      </c>
      <c r="D150" s="231">
        <f>15+[2]!STEPLOAD(5)</f>
        <v>20</v>
      </c>
      <c r="E150" s="212">
        <f t="shared" si="15"/>
        <v>43.750023799489824</v>
      </c>
      <c r="F150" s="212">
        <f t="shared" si="16"/>
        <v>0.5</v>
      </c>
      <c r="G150" s="212">
        <f>5</f>
        <v>5</v>
      </c>
      <c r="H150" s="212">
        <f>60</f>
        <v>60</v>
      </c>
      <c r="I150" s="212">
        <f t="shared" si="17"/>
        <v>0.9</v>
      </c>
      <c r="J150" s="212">
        <f>1</f>
        <v>1</v>
      </c>
      <c r="K150" s="212">
        <f t="shared" si="18"/>
        <v>4.1870000000000003</v>
      </c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196"/>
      <c r="AD150" s="27"/>
      <c r="AE150" s="213"/>
      <c r="AF150" s="212">
        <f t="shared" si="19"/>
        <v>0.20441008721127574</v>
      </c>
      <c r="AG150" s="212"/>
      <c r="AH150" s="212"/>
      <c r="AI150" s="212"/>
      <c r="AJ150" s="212"/>
      <c r="AK150" s="212"/>
      <c r="AL150" s="212"/>
      <c r="AM150" s="212"/>
      <c r="AN150" s="212"/>
      <c r="AO150" s="212"/>
      <c r="AP150" s="196"/>
      <c r="AQ150" s="196"/>
      <c r="AR150" s="211"/>
      <c r="AS150" s="212"/>
      <c r="AT150" s="212"/>
      <c r="AU150" s="212"/>
      <c r="AW150" s="58"/>
      <c r="AX150" s="58"/>
      <c r="AY150" s="58"/>
      <c r="AZ150" s="58"/>
    </row>
    <row r="151" spans="1:52" s="185" customFormat="1" ht="15" customHeight="1" x14ac:dyDescent="0.25">
      <c r="A151" s="200"/>
      <c r="B151" s="211"/>
      <c r="C151" s="212">
        <f t="shared" si="14"/>
        <v>13.999999999999966</v>
      </c>
      <c r="D151" s="231">
        <f>15+[2]!STEPLOAD(5)</f>
        <v>20</v>
      </c>
      <c r="E151" s="212">
        <f t="shared" si="15"/>
        <v>43.770464808210953</v>
      </c>
      <c r="F151" s="212">
        <f t="shared" si="16"/>
        <v>0.5</v>
      </c>
      <c r="G151" s="212">
        <f>5</f>
        <v>5</v>
      </c>
      <c r="H151" s="212">
        <f>60</f>
        <v>60</v>
      </c>
      <c r="I151" s="212">
        <f t="shared" si="17"/>
        <v>0.9</v>
      </c>
      <c r="J151" s="212">
        <f>1</f>
        <v>1</v>
      </c>
      <c r="K151" s="212">
        <f t="shared" si="18"/>
        <v>4.1870000000000003</v>
      </c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196"/>
      <c r="AD151" s="27"/>
      <c r="AE151" s="213"/>
      <c r="AF151" s="212">
        <f t="shared" si="19"/>
        <v>0.2023659863391627</v>
      </c>
      <c r="AG151" s="212"/>
      <c r="AH151" s="212"/>
      <c r="AI151" s="212"/>
      <c r="AJ151" s="212"/>
      <c r="AK151" s="212"/>
      <c r="AL151" s="212"/>
      <c r="AM151" s="212"/>
      <c r="AN151" s="212"/>
      <c r="AO151" s="212"/>
      <c r="AP151" s="196"/>
      <c r="AQ151" s="196"/>
      <c r="AR151" s="211"/>
      <c r="AS151" s="212"/>
      <c r="AT151" s="212"/>
      <c r="AU151" s="212"/>
      <c r="AW151" s="58"/>
      <c r="AX151" s="58"/>
      <c r="AY151" s="58"/>
      <c r="AZ151" s="58"/>
    </row>
    <row r="152" spans="1:52" s="185" customFormat="1" ht="15" customHeight="1" x14ac:dyDescent="0.25">
      <c r="A152" s="200"/>
      <c r="B152" s="211"/>
      <c r="C152" s="212">
        <f t="shared" si="14"/>
        <v>14.099999999999966</v>
      </c>
      <c r="D152" s="231">
        <f>15+[2]!STEPLOAD(5)</f>
        <v>20</v>
      </c>
      <c r="E152" s="212">
        <f t="shared" si="15"/>
        <v>43.790701406844867</v>
      </c>
      <c r="F152" s="212">
        <f t="shared" si="16"/>
        <v>0.5</v>
      </c>
      <c r="G152" s="212">
        <f>5</f>
        <v>5</v>
      </c>
      <c r="H152" s="212">
        <f>60</f>
        <v>60</v>
      </c>
      <c r="I152" s="212">
        <f t="shared" si="17"/>
        <v>0.9</v>
      </c>
      <c r="J152" s="212">
        <f>1</f>
        <v>1</v>
      </c>
      <c r="K152" s="212">
        <f t="shared" si="18"/>
        <v>4.1870000000000003</v>
      </c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  <c r="AA152" s="212"/>
      <c r="AB152" s="212"/>
      <c r="AC152" s="196"/>
      <c r="AD152" s="27"/>
      <c r="AE152" s="213"/>
      <c r="AF152" s="212">
        <f t="shared" si="19"/>
        <v>0.20034232647577133</v>
      </c>
      <c r="AG152" s="212"/>
      <c r="AH152" s="212"/>
      <c r="AI152" s="212"/>
      <c r="AJ152" s="212"/>
      <c r="AK152" s="212"/>
      <c r="AL152" s="212"/>
      <c r="AM152" s="212"/>
      <c r="AN152" s="212"/>
      <c r="AO152" s="212"/>
      <c r="AP152" s="196"/>
      <c r="AQ152" s="196"/>
      <c r="AR152" s="211"/>
      <c r="AS152" s="212"/>
      <c r="AT152" s="212"/>
      <c r="AU152" s="212"/>
      <c r="AW152" s="58"/>
      <c r="AX152" s="58"/>
      <c r="AY152" s="58"/>
      <c r="AZ152" s="58"/>
    </row>
    <row r="153" spans="1:52" s="185" customFormat="1" ht="15" customHeight="1" x14ac:dyDescent="0.25">
      <c r="A153" s="200"/>
      <c r="B153" s="211"/>
      <c r="C153" s="212">
        <f t="shared" si="14"/>
        <v>14.199999999999966</v>
      </c>
      <c r="D153" s="231">
        <f>15+[2]!STEPLOAD(5)</f>
        <v>20</v>
      </c>
      <c r="E153" s="212">
        <f t="shared" si="15"/>
        <v>43.810735639492442</v>
      </c>
      <c r="F153" s="212">
        <f t="shared" si="16"/>
        <v>0.5</v>
      </c>
      <c r="G153" s="212">
        <f>5</f>
        <v>5</v>
      </c>
      <c r="H153" s="212">
        <f>60</f>
        <v>60</v>
      </c>
      <c r="I153" s="212">
        <f t="shared" si="17"/>
        <v>0.9</v>
      </c>
      <c r="J153" s="212">
        <f>1</f>
        <v>1</v>
      </c>
      <c r="K153" s="212">
        <f t="shared" si="18"/>
        <v>4.1870000000000003</v>
      </c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196"/>
      <c r="AD153" s="27"/>
      <c r="AE153" s="213"/>
      <c r="AF153" s="212">
        <f t="shared" si="19"/>
        <v>0.19833890321101366</v>
      </c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196"/>
      <c r="AQ153" s="196"/>
      <c r="AR153" s="211"/>
      <c r="AS153" s="212"/>
      <c r="AT153" s="212"/>
      <c r="AU153" s="212"/>
      <c r="AW153" s="58"/>
      <c r="AX153" s="58"/>
      <c r="AY153" s="58"/>
      <c r="AZ153" s="58"/>
    </row>
    <row r="154" spans="1:52" s="185" customFormat="1" ht="15" customHeight="1" x14ac:dyDescent="0.25">
      <c r="A154" s="200"/>
      <c r="B154" s="211"/>
      <c r="C154" s="212">
        <f t="shared" si="14"/>
        <v>14.299999999999965</v>
      </c>
      <c r="D154" s="231">
        <f>15+[2]!STEPLOAD(5)</f>
        <v>20</v>
      </c>
      <c r="E154" s="212">
        <f t="shared" si="15"/>
        <v>43.830569529813545</v>
      </c>
      <c r="F154" s="212">
        <f t="shared" si="16"/>
        <v>0.5</v>
      </c>
      <c r="G154" s="212">
        <f>5</f>
        <v>5</v>
      </c>
      <c r="H154" s="212">
        <f>60</f>
        <v>60</v>
      </c>
      <c r="I154" s="212">
        <f t="shared" si="17"/>
        <v>0.9</v>
      </c>
      <c r="J154" s="212">
        <f>1</f>
        <v>1</v>
      </c>
      <c r="K154" s="212">
        <f t="shared" si="18"/>
        <v>4.1870000000000003</v>
      </c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  <c r="AA154" s="212"/>
      <c r="AB154" s="212"/>
      <c r="AC154" s="196"/>
      <c r="AD154" s="27"/>
      <c r="AE154" s="213"/>
      <c r="AF154" s="212">
        <f t="shared" si="19"/>
        <v>0.19635551417890351</v>
      </c>
      <c r="AG154" s="212"/>
      <c r="AH154" s="212"/>
      <c r="AI154" s="212"/>
      <c r="AJ154" s="212"/>
      <c r="AK154" s="212"/>
      <c r="AL154" s="212"/>
      <c r="AM154" s="212"/>
      <c r="AN154" s="212"/>
      <c r="AO154" s="212"/>
      <c r="AP154" s="196"/>
      <c r="AQ154" s="196"/>
      <c r="AR154" s="211"/>
      <c r="AS154" s="212"/>
      <c r="AT154" s="212"/>
      <c r="AU154" s="212"/>
      <c r="AW154" s="58"/>
      <c r="AX154" s="58"/>
      <c r="AY154" s="58"/>
      <c r="AZ154" s="58"/>
    </row>
    <row r="155" spans="1:52" s="185" customFormat="1" ht="15" customHeight="1" x14ac:dyDescent="0.25">
      <c r="A155" s="200"/>
      <c r="B155" s="211"/>
      <c r="C155" s="212">
        <f t="shared" si="14"/>
        <v>14.399999999999965</v>
      </c>
      <c r="D155" s="231">
        <f>15+[2]!STEPLOAD(5)</f>
        <v>20</v>
      </c>
      <c r="E155" s="212">
        <f t="shared" si="15"/>
        <v>43.850205081231437</v>
      </c>
      <c r="F155" s="212">
        <f t="shared" si="16"/>
        <v>0.5</v>
      </c>
      <c r="G155" s="212">
        <f>5</f>
        <v>5</v>
      </c>
      <c r="H155" s="212">
        <f>60</f>
        <v>60</v>
      </c>
      <c r="I155" s="212">
        <f t="shared" si="17"/>
        <v>0.9</v>
      </c>
      <c r="J155" s="212">
        <f>1</f>
        <v>1</v>
      </c>
      <c r="K155" s="212">
        <f t="shared" si="18"/>
        <v>4.1870000000000003</v>
      </c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  <c r="AA155" s="212"/>
      <c r="AB155" s="212"/>
      <c r="AC155" s="196"/>
      <c r="AD155" s="27"/>
      <c r="AE155" s="213"/>
      <c r="AF155" s="212">
        <f t="shared" si="19"/>
        <v>0.19439195903711415</v>
      </c>
      <c r="AG155" s="212"/>
      <c r="AH155" s="212"/>
      <c r="AI155" s="212"/>
      <c r="AJ155" s="212"/>
      <c r="AK155" s="212"/>
      <c r="AL155" s="212"/>
      <c r="AM155" s="212"/>
      <c r="AN155" s="212"/>
      <c r="AO155" s="212"/>
      <c r="AP155" s="196"/>
      <c r="AQ155" s="196"/>
      <c r="AR155" s="211"/>
      <c r="AS155" s="212"/>
      <c r="AT155" s="212"/>
      <c r="AU155" s="212"/>
      <c r="AW155" s="58"/>
      <c r="AX155" s="58"/>
      <c r="AY155" s="58"/>
      <c r="AZ155" s="58"/>
    </row>
    <row r="156" spans="1:52" s="185" customFormat="1" ht="15" customHeight="1" x14ac:dyDescent="0.25">
      <c r="A156" s="200"/>
      <c r="B156" s="211"/>
      <c r="C156" s="212">
        <f t="shared" si="14"/>
        <v>14.499999999999964</v>
      </c>
      <c r="D156" s="231">
        <f>15+[2]!STEPLOAD(5)</f>
        <v>20</v>
      </c>
      <c r="E156" s="212">
        <f t="shared" si="15"/>
        <v>43.869644277135151</v>
      </c>
      <c r="F156" s="212">
        <f t="shared" si="16"/>
        <v>0.5</v>
      </c>
      <c r="G156" s="212">
        <f>5</f>
        <v>5</v>
      </c>
      <c r="H156" s="212">
        <f>60</f>
        <v>60</v>
      </c>
      <c r="I156" s="212">
        <f t="shared" si="17"/>
        <v>0.9</v>
      </c>
      <c r="J156" s="212">
        <f>1</f>
        <v>1</v>
      </c>
      <c r="K156" s="212">
        <f t="shared" si="18"/>
        <v>4.1870000000000003</v>
      </c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196"/>
      <c r="AD156" s="27"/>
      <c r="AE156" s="213"/>
      <c r="AF156" s="212">
        <f t="shared" si="19"/>
        <v>0.19244803944674294</v>
      </c>
      <c r="AG156" s="212"/>
      <c r="AH156" s="212"/>
      <c r="AI156" s="212"/>
      <c r="AJ156" s="212"/>
      <c r="AK156" s="212"/>
      <c r="AL156" s="212"/>
      <c r="AM156" s="212"/>
      <c r="AN156" s="212"/>
      <c r="AO156" s="212"/>
      <c r="AP156" s="196"/>
      <c r="AQ156" s="196"/>
      <c r="AR156" s="211"/>
      <c r="AS156" s="212"/>
      <c r="AT156" s="212"/>
      <c r="AU156" s="212"/>
      <c r="AW156" s="58"/>
      <c r="AX156" s="58"/>
      <c r="AY156" s="58"/>
      <c r="AZ156" s="58"/>
    </row>
    <row r="157" spans="1:52" s="185" customFormat="1" ht="15" customHeight="1" x14ac:dyDescent="0.25">
      <c r="A157" s="200"/>
      <c r="B157" s="211"/>
      <c r="C157" s="212">
        <f t="shared" si="14"/>
        <v>14.599999999999964</v>
      </c>
      <c r="D157" s="231">
        <f>15+[2]!STEPLOAD(5)</f>
        <v>20</v>
      </c>
      <c r="E157" s="212">
        <f t="shared" si="15"/>
        <v>43.888889081079824</v>
      </c>
      <c r="F157" s="212">
        <f t="shared" si="16"/>
        <v>0.5</v>
      </c>
      <c r="G157" s="212">
        <f>5</f>
        <v>5</v>
      </c>
      <c r="H157" s="212">
        <f>60</f>
        <v>60</v>
      </c>
      <c r="I157" s="212">
        <f t="shared" si="17"/>
        <v>0.9</v>
      </c>
      <c r="J157" s="212">
        <f>1</f>
        <v>1</v>
      </c>
      <c r="K157" s="212">
        <f t="shared" si="18"/>
        <v>4.1870000000000003</v>
      </c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  <c r="AA157" s="212"/>
      <c r="AB157" s="212"/>
      <c r="AC157" s="196"/>
      <c r="AD157" s="27"/>
      <c r="AE157" s="213"/>
      <c r="AF157" s="212">
        <f t="shared" si="19"/>
        <v>0.19052355905227536</v>
      </c>
      <c r="AG157" s="212"/>
      <c r="AH157" s="212"/>
      <c r="AI157" s="212"/>
      <c r="AJ157" s="212"/>
      <c r="AK157" s="212"/>
      <c r="AL157" s="212"/>
      <c r="AM157" s="212"/>
      <c r="AN157" s="212"/>
      <c r="AO157" s="212"/>
      <c r="AP157" s="196"/>
      <c r="AQ157" s="196"/>
      <c r="AR157" s="211"/>
      <c r="AS157" s="212"/>
      <c r="AT157" s="212"/>
      <c r="AU157" s="212"/>
      <c r="AW157" s="58"/>
      <c r="AX157" s="58"/>
      <c r="AY157" s="58"/>
      <c r="AZ157" s="58"/>
    </row>
    <row r="158" spans="1:52" s="185" customFormat="1" ht="15" customHeight="1" x14ac:dyDescent="0.25">
      <c r="A158" s="200"/>
      <c r="B158" s="211"/>
      <c r="C158" s="212">
        <f t="shared" si="14"/>
        <v>14.699999999999964</v>
      </c>
      <c r="D158" s="231">
        <f>15+[2]!STEPLOAD(5)</f>
        <v>20</v>
      </c>
      <c r="E158" s="212">
        <f t="shared" si="15"/>
        <v>43.907941436985055</v>
      </c>
      <c r="F158" s="212">
        <f t="shared" si="16"/>
        <v>0.5</v>
      </c>
      <c r="G158" s="212">
        <f>5</f>
        <v>5</v>
      </c>
      <c r="H158" s="212">
        <f>60</f>
        <v>60</v>
      </c>
      <c r="I158" s="212">
        <f t="shared" si="17"/>
        <v>0.9</v>
      </c>
      <c r="J158" s="212">
        <f>1</f>
        <v>1</v>
      </c>
      <c r="K158" s="212">
        <f t="shared" si="18"/>
        <v>4.1870000000000003</v>
      </c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  <c r="AA158" s="212"/>
      <c r="AB158" s="212"/>
      <c r="AC158" s="196"/>
      <c r="AD158" s="27"/>
      <c r="AE158" s="213"/>
      <c r="AF158" s="212">
        <f t="shared" si="19"/>
        <v>0.18861832346175245</v>
      </c>
      <c r="AG158" s="212"/>
      <c r="AH158" s="212"/>
      <c r="AI158" s="212"/>
      <c r="AJ158" s="212"/>
      <c r="AK158" s="212"/>
      <c r="AL158" s="212"/>
      <c r="AM158" s="212"/>
      <c r="AN158" s="212"/>
      <c r="AO158" s="212"/>
      <c r="AP158" s="196"/>
      <c r="AQ158" s="196"/>
      <c r="AR158" s="211"/>
      <c r="AS158" s="212"/>
      <c r="AT158" s="212"/>
      <c r="AU158" s="212"/>
      <c r="AW158" s="58"/>
      <c r="AX158" s="58"/>
      <c r="AY158" s="58"/>
      <c r="AZ158" s="58"/>
    </row>
    <row r="159" spans="1:52" s="185" customFormat="1" ht="15" customHeight="1" x14ac:dyDescent="0.25">
      <c r="A159" s="200"/>
      <c r="B159" s="211"/>
      <c r="C159" s="212">
        <f t="shared" si="14"/>
        <v>14.799999999999963</v>
      </c>
      <c r="D159" s="231">
        <f>15+[2]!STEPLOAD(5)</f>
        <v>20</v>
      </c>
      <c r="E159" s="212">
        <f t="shared" si="15"/>
        <v>43.926803269331231</v>
      </c>
      <c r="F159" s="212">
        <f t="shared" si="16"/>
        <v>0.5</v>
      </c>
      <c r="G159" s="212">
        <f>5</f>
        <v>5</v>
      </c>
      <c r="H159" s="212">
        <f>60</f>
        <v>60</v>
      </c>
      <c r="I159" s="212">
        <f t="shared" si="17"/>
        <v>0.9</v>
      </c>
      <c r="J159" s="212">
        <f>1</f>
        <v>1</v>
      </c>
      <c r="K159" s="212">
        <f t="shared" si="18"/>
        <v>4.1870000000000003</v>
      </c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2"/>
      <c r="AC159" s="196"/>
      <c r="AD159" s="27"/>
      <c r="AE159" s="213"/>
      <c r="AF159" s="212">
        <f t="shared" si="19"/>
        <v>0.18673214022713491</v>
      </c>
      <c r="AG159" s="212"/>
      <c r="AH159" s="212"/>
      <c r="AI159" s="212"/>
      <c r="AJ159" s="212"/>
      <c r="AK159" s="212"/>
      <c r="AL159" s="212"/>
      <c r="AM159" s="212"/>
      <c r="AN159" s="212"/>
      <c r="AO159" s="212"/>
      <c r="AP159" s="196"/>
      <c r="AQ159" s="196"/>
      <c r="AR159" s="211"/>
      <c r="AS159" s="212"/>
      <c r="AT159" s="212"/>
      <c r="AU159" s="212"/>
      <c r="AW159" s="58"/>
      <c r="AX159" s="58"/>
      <c r="AY159" s="58"/>
      <c r="AZ159" s="58"/>
    </row>
    <row r="160" spans="1:52" s="185" customFormat="1" ht="15" customHeight="1" x14ac:dyDescent="0.25">
      <c r="A160" s="200"/>
      <c r="B160" s="211"/>
      <c r="C160" s="212">
        <f t="shared" si="14"/>
        <v>14.899999999999963</v>
      </c>
      <c r="D160" s="231">
        <f>15+[2]!STEPLOAD(5)</f>
        <v>20</v>
      </c>
      <c r="E160" s="212">
        <f t="shared" si="15"/>
        <v>43.945476483353943</v>
      </c>
      <c r="F160" s="212">
        <f t="shared" si="16"/>
        <v>0.5</v>
      </c>
      <c r="G160" s="212">
        <f>5</f>
        <v>5</v>
      </c>
      <c r="H160" s="212">
        <f>60</f>
        <v>60</v>
      </c>
      <c r="I160" s="212">
        <f t="shared" si="17"/>
        <v>0.9</v>
      </c>
      <c r="J160" s="212">
        <f>1</f>
        <v>1</v>
      </c>
      <c r="K160" s="212">
        <f t="shared" si="18"/>
        <v>4.1870000000000003</v>
      </c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  <c r="AA160" s="212"/>
      <c r="AB160" s="212"/>
      <c r="AC160" s="196"/>
      <c r="AD160" s="27"/>
      <c r="AE160" s="213"/>
      <c r="AF160" s="212">
        <f t="shared" si="19"/>
        <v>0.18486481882486361</v>
      </c>
      <c r="AG160" s="212"/>
      <c r="AH160" s="212"/>
      <c r="AI160" s="212"/>
      <c r="AJ160" s="212"/>
      <c r="AK160" s="212"/>
      <c r="AL160" s="212"/>
      <c r="AM160" s="212"/>
      <c r="AN160" s="212"/>
      <c r="AO160" s="212"/>
      <c r="AP160" s="196"/>
      <c r="AQ160" s="196"/>
      <c r="AR160" s="211"/>
      <c r="AS160" s="212"/>
      <c r="AT160" s="212"/>
      <c r="AU160" s="212"/>
      <c r="AW160" s="58"/>
      <c r="AX160" s="58"/>
      <c r="AY160" s="58"/>
      <c r="AZ160" s="58"/>
    </row>
    <row r="161" spans="1:52" s="185" customFormat="1" ht="15" customHeight="1" x14ac:dyDescent="0.25">
      <c r="A161" s="200"/>
      <c r="B161" s="211"/>
      <c r="C161" s="212">
        <f t="shared" si="14"/>
        <v>14.999999999999963</v>
      </c>
      <c r="D161" s="231">
        <f>15+[2]!STEPLOAD(5)</f>
        <v>20</v>
      </c>
      <c r="E161" s="212">
        <f t="shared" si="15"/>
        <v>43.963962965236426</v>
      </c>
      <c r="F161" s="212">
        <f t="shared" si="16"/>
        <v>0.5</v>
      </c>
      <c r="G161" s="212">
        <f>5</f>
        <v>5</v>
      </c>
      <c r="H161" s="212">
        <f>60</f>
        <v>60</v>
      </c>
      <c r="I161" s="212">
        <f t="shared" si="17"/>
        <v>0.9</v>
      </c>
      <c r="J161" s="212">
        <f>1</f>
        <v>1</v>
      </c>
      <c r="K161" s="212">
        <f t="shared" si="18"/>
        <v>4.1870000000000003</v>
      </c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196"/>
      <c r="AD161" s="27"/>
      <c r="AE161" s="213"/>
      <c r="AF161" s="212">
        <f t="shared" si="19"/>
        <v>0.18301617063661535</v>
      </c>
      <c r="AG161" s="212"/>
      <c r="AH161" s="212"/>
      <c r="AI161" s="212"/>
      <c r="AJ161" s="212"/>
      <c r="AK161" s="212"/>
      <c r="AL161" s="212"/>
      <c r="AM161" s="212"/>
      <c r="AN161" s="212"/>
      <c r="AO161" s="212"/>
      <c r="AP161" s="196"/>
      <c r="AQ161" s="196"/>
      <c r="AR161" s="211"/>
      <c r="AS161" s="212"/>
      <c r="AT161" s="212"/>
      <c r="AU161" s="212"/>
      <c r="AW161" s="58"/>
      <c r="AX161" s="58"/>
      <c r="AY161" s="58"/>
      <c r="AZ161" s="58"/>
    </row>
    <row r="162" spans="1:52" s="185" customFormat="1" ht="15" customHeight="1" x14ac:dyDescent="0.25">
      <c r="A162" s="200"/>
      <c r="B162" s="211"/>
      <c r="C162" s="212">
        <f t="shared" si="14"/>
        <v>15.099999999999962</v>
      </c>
      <c r="D162" s="231">
        <f>15+[2]!STEPLOAD(5)</f>
        <v>20</v>
      </c>
      <c r="E162" s="212">
        <f t="shared" si="15"/>
        <v>43.98226458230009</v>
      </c>
      <c r="F162" s="212">
        <f t="shared" si="16"/>
        <v>0.5</v>
      </c>
      <c r="G162" s="212">
        <f>5</f>
        <v>5</v>
      </c>
      <c r="H162" s="212">
        <f>60</f>
        <v>60</v>
      </c>
      <c r="I162" s="212">
        <f t="shared" si="17"/>
        <v>0.9</v>
      </c>
      <c r="J162" s="212">
        <f>1</f>
        <v>1</v>
      </c>
      <c r="K162" s="212">
        <f t="shared" si="18"/>
        <v>4.1870000000000003</v>
      </c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  <c r="AA162" s="212"/>
      <c r="AB162" s="212"/>
      <c r="AC162" s="196"/>
      <c r="AD162" s="27"/>
      <c r="AE162" s="213"/>
      <c r="AF162" s="212">
        <f t="shared" si="19"/>
        <v>0.18118600893024883</v>
      </c>
      <c r="AG162" s="212"/>
      <c r="AH162" s="212"/>
      <c r="AI162" s="212"/>
      <c r="AJ162" s="212"/>
      <c r="AK162" s="212"/>
      <c r="AL162" s="212"/>
      <c r="AM162" s="212"/>
      <c r="AN162" s="212"/>
      <c r="AO162" s="212"/>
      <c r="AP162" s="196"/>
      <c r="AQ162" s="196"/>
      <c r="AR162" s="211"/>
      <c r="AS162" s="212"/>
      <c r="AT162" s="212"/>
      <c r="AU162" s="212"/>
      <c r="AW162" s="58"/>
      <c r="AX162" s="58"/>
      <c r="AY162" s="58"/>
      <c r="AZ162" s="58"/>
    </row>
    <row r="163" spans="1:52" s="185" customFormat="1" ht="15" customHeight="1" x14ac:dyDescent="0.25">
      <c r="A163" s="200"/>
      <c r="B163" s="211"/>
      <c r="C163" s="212">
        <f t="shared" si="14"/>
        <v>15.199999999999962</v>
      </c>
      <c r="D163" s="231">
        <f>15+[2]!STEPLOAD(5)</f>
        <v>20</v>
      </c>
      <c r="E163" s="212">
        <f t="shared" si="15"/>
        <v>44.000383183193115</v>
      </c>
      <c r="F163" s="212">
        <f t="shared" si="16"/>
        <v>0.5</v>
      </c>
      <c r="G163" s="212">
        <f>5</f>
        <v>5</v>
      </c>
      <c r="H163" s="212">
        <f>60</f>
        <v>60</v>
      </c>
      <c r="I163" s="212">
        <f t="shared" si="17"/>
        <v>0.9</v>
      </c>
      <c r="J163" s="212">
        <f>1</f>
        <v>1</v>
      </c>
      <c r="K163" s="212">
        <f t="shared" si="18"/>
        <v>4.1870000000000003</v>
      </c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2"/>
      <c r="AC163" s="196"/>
      <c r="AD163" s="27"/>
      <c r="AE163" s="213"/>
      <c r="AF163" s="212">
        <f t="shared" si="19"/>
        <v>0.17937414884094638</v>
      </c>
      <c r="AG163" s="212"/>
      <c r="AH163" s="212"/>
      <c r="AI163" s="212"/>
      <c r="AJ163" s="212"/>
      <c r="AK163" s="212"/>
      <c r="AL163" s="212"/>
      <c r="AM163" s="212"/>
      <c r="AN163" s="212"/>
      <c r="AO163" s="212"/>
      <c r="AP163" s="196"/>
      <c r="AQ163" s="196"/>
      <c r="AR163" s="211"/>
      <c r="AS163" s="212"/>
      <c r="AT163" s="212"/>
      <c r="AU163" s="212"/>
      <c r="AW163" s="58"/>
      <c r="AX163" s="58"/>
      <c r="AY163" s="58"/>
      <c r="AZ163" s="58"/>
    </row>
    <row r="164" spans="1:52" s="185" customFormat="1" ht="15" customHeight="1" x14ac:dyDescent="0.25">
      <c r="A164" s="200"/>
      <c r="B164" s="211"/>
      <c r="C164" s="212">
        <f t="shared" si="14"/>
        <v>15.299999999999962</v>
      </c>
      <c r="D164" s="231">
        <f>15+[2]!STEPLOAD(5)</f>
        <v>20</v>
      </c>
      <c r="E164" s="212">
        <f t="shared" si="15"/>
        <v>44.01832059807721</v>
      </c>
      <c r="F164" s="212">
        <f t="shared" si="16"/>
        <v>0.5</v>
      </c>
      <c r="G164" s="212">
        <f>5</f>
        <v>5</v>
      </c>
      <c r="H164" s="212">
        <f>60</f>
        <v>60</v>
      </c>
      <c r="I164" s="212">
        <f t="shared" si="17"/>
        <v>0.9</v>
      </c>
      <c r="J164" s="212">
        <f>1</f>
        <v>1</v>
      </c>
      <c r="K164" s="212">
        <f t="shared" si="18"/>
        <v>4.1870000000000003</v>
      </c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2"/>
      <c r="AC164" s="196"/>
      <c r="AD164" s="27"/>
      <c r="AE164" s="213"/>
      <c r="AF164" s="212">
        <f t="shared" si="19"/>
        <v>0.17758040735253688</v>
      </c>
      <c r="AG164" s="212"/>
      <c r="AH164" s="212"/>
      <c r="AI164" s="212"/>
      <c r="AJ164" s="212"/>
      <c r="AK164" s="212"/>
      <c r="AL164" s="212"/>
      <c r="AM164" s="212"/>
      <c r="AN164" s="212"/>
      <c r="AO164" s="212"/>
      <c r="AP164" s="196"/>
      <c r="AQ164" s="196"/>
      <c r="AR164" s="211"/>
      <c r="AS164" s="212"/>
      <c r="AT164" s="212"/>
      <c r="AU164" s="212"/>
      <c r="AW164" s="58"/>
      <c r="AX164" s="58"/>
      <c r="AY164" s="58"/>
      <c r="AZ164" s="58"/>
    </row>
    <row r="165" spans="1:52" s="185" customFormat="1" ht="15" customHeight="1" x14ac:dyDescent="0.25">
      <c r="A165" s="200"/>
      <c r="B165" s="211"/>
      <c r="C165" s="212">
        <f t="shared" si="14"/>
        <v>15.399999999999961</v>
      </c>
      <c r="D165" s="231">
        <f>15+[2]!STEPLOAD(5)</f>
        <v>20</v>
      </c>
      <c r="E165" s="212">
        <f t="shared" si="15"/>
        <v>44.036078638812462</v>
      </c>
      <c r="F165" s="212">
        <f t="shared" si="16"/>
        <v>0.5</v>
      </c>
      <c r="G165" s="212">
        <f>5</f>
        <v>5</v>
      </c>
      <c r="H165" s="212">
        <f>60</f>
        <v>60</v>
      </c>
      <c r="I165" s="212">
        <f t="shared" si="17"/>
        <v>0.9</v>
      </c>
      <c r="J165" s="212">
        <f>1</f>
        <v>1</v>
      </c>
      <c r="K165" s="212">
        <f t="shared" si="18"/>
        <v>4.1870000000000003</v>
      </c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2"/>
      <c r="AC165" s="196"/>
      <c r="AD165" s="27"/>
      <c r="AE165" s="213"/>
      <c r="AF165" s="212">
        <f t="shared" si="19"/>
        <v>0.17580460327901148</v>
      </c>
      <c r="AG165" s="212"/>
      <c r="AH165" s="212"/>
      <c r="AI165" s="212"/>
      <c r="AJ165" s="212"/>
      <c r="AK165" s="212"/>
      <c r="AL165" s="212"/>
      <c r="AM165" s="212"/>
      <c r="AN165" s="212"/>
      <c r="AO165" s="212"/>
      <c r="AP165" s="196"/>
      <c r="AQ165" s="196"/>
      <c r="AR165" s="211"/>
      <c r="AS165" s="212"/>
      <c r="AT165" s="212"/>
      <c r="AU165" s="212"/>
      <c r="AW165" s="58"/>
      <c r="AX165" s="58"/>
      <c r="AY165" s="58"/>
      <c r="AZ165" s="58"/>
    </row>
    <row r="166" spans="1:52" s="185" customFormat="1" ht="15" customHeight="1" x14ac:dyDescent="0.25">
      <c r="A166" s="200"/>
      <c r="B166" s="211"/>
      <c r="C166" s="212">
        <f t="shared" si="14"/>
        <v>15.499999999999961</v>
      </c>
      <c r="D166" s="231">
        <f>15+[2]!STEPLOAD(5)</f>
        <v>20</v>
      </c>
      <c r="E166" s="212">
        <f t="shared" si="15"/>
        <v>44.053659099140361</v>
      </c>
      <c r="F166" s="212">
        <f t="shared" si="16"/>
        <v>0.5</v>
      </c>
      <c r="G166" s="212">
        <f>5</f>
        <v>5</v>
      </c>
      <c r="H166" s="212">
        <f>60</f>
        <v>60</v>
      </c>
      <c r="I166" s="212">
        <f t="shared" si="17"/>
        <v>0.9</v>
      </c>
      <c r="J166" s="212">
        <f>1</f>
        <v>1</v>
      </c>
      <c r="K166" s="212">
        <f t="shared" si="18"/>
        <v>4.1870000000000003</v>
      </c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196"/>
      <c r="AD166" s="27"/>
      <c r="AE166" s="213"/>
      <c r="AF166" s="212">
        <f t="shared" si="19"/>
        <v>0.17404655724622176</v>
      </c>
      <c r="AG166" s="212"/>
      <c r="AH166" s="212"/>
      <c r="AI166" s="212"/>
      <c r="AJ166" s="212"/>
      <c r="AK166" s="212"/>
      <c r="AL166" s="212"/>
      <c r="AM166" s="212"/>
      <c r="AN166" s="212"/>
      <c r="AO166" s="212"/>
      <c r="AP166" s="196"/>
      <c r="AQ166" s="196"/>
      <c r="AR166" s="211"/>
      <c r="AS166" s="212"/>
      <c r="AT166" s="212"/>
      <c r="AU166" s="212"/>
      <c r="AW166" s="58"/>
      <c r="AX166" s="58"/>
      <c r="AY166" s="58"/>
      <c r="AZ166" s="58"/>
    </row>
    <row r="167" spans="1:52" s="185" customFormat="1" ht="15" customHeight="1" x14ac:dyDescent="0.25">
      <c r="A167" s="200"/>
      <c r="B167" s="211"/>
      <c r="C167" s="212">
        <f t="shared" si="14"/>
        <v>15.599999999999961</v>
      </c>
      <c r="D167" s="231">
        <f>15+[2]!STEPLOAD(5)</f>
        <v>20</v>
      </c>
      <c r="E167" s="212">
        <f t="shared" si="15"/>
        <v>44.07106375486498</v>
      </c>
      <c r="F167" s="212">
        <f t="shared" si="16"/>
        <v>0.5</v>
      </c>
      <c r="G167" s="212">
        <f>5</f>
        <v>5</v>
      </c>
      <c r="H167" s="212">
        <f>60</f>
        <v>60</v>
      </c>
      <c r="I167" s="212">
        <f t="shared" si="17"/>
        <v>0.9</v>
      </c>
      <c r="J167" s="212">
        <f>1</f>
        <v>1</v>
      </c>
      <c r="K167" s="212">
        <f t="shared" si="18"/>
        <v>4.1870000000000003</v>
      </c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  <c r="AA167" s="212"/>
      <c r="AB167" s="212"/>
      <c r="AC167" s="196"/>
      <c r="AD167" s="27"/>
      <c r="AE167" s="213"/>
      <c r="AF167" s="212">
        <f t="shared" si="19"/>
        <v>0.17230609167375999</v>
      </c>
      <c r="AG167" s="212"/>
      <c r="AH167" s="212"/>
      <c r="AI167" s="212"/>
      <c r="AJ167" s="212"/>
      <c r="AK167" s="212"/>
      <c r="AL167" s="212"/>
      <c r="AM167" s="212"/>
      <c r="AN167" s="212"/>
      <c r="AO167" s="212"/>
      <c r="AP167" s="196"/>
      <c r="AQ167" s="196"/>
      <c r="AR167" s="211"/>
      <c r="AS167" s="212"/>
      <c r="AT167" s="212"/>
      <c r="AU167" s="212"/>
      <c r="AW167" s="58"/>
      <c r="AX167" s="58"/>
      <c r="AY167" s="58"/>
      <c r="AZ167" s="58"/>
    </row>
    <row r="168" spans="1:52" s="185" customFormat="1" ht="15" customHeight="1" x14ac:dyDescent="0.25">
      <c r="A168" s="200"/>
      <c r="B168" s="211"/>
      <c r="C168" s="212">
        <f t="shared" si="14"/>
        <v>15.69999999999996</v>
      </c>
      <c r="D168" s="231">
        <f>15+[2]!STEPLOAD(5)</f>
        <v>20</v>
      </c>
      <c r="E168" s="212">
        <f t="shared" si="15"/>
        <v>44.088294364032357</v>
      </c>
      <c r="F168" s="212">
        <f t="shared" si="16"/>
        <v>0.5</v>
      </c>
      <c r="G168" s="212">
        <f>5</f>
        <v>5</v>
      </c>
      <c r="H168" s="212">
        <f>60</f>
        <v>60</v>
      </c>
      <c r="I168" s="212">
        <f t="shared" si="17"/>
        <v>0.9</v>
      </c>
      <c r="J168" s="212">
        <f>1</f>
        <v>1</v>
      </c>
      <c r="K168" s="212">
        <f t="shared" si="18"/>
        <v>4.1870000000000003</v>
      </c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  <c r="AA168" s="212"/>
      <c r="AB168" s="212"/>
      <c r="AC168" s="196"/>
      <c r="AD168" s="27"/>
      <c r="AE168" s="213"/>
      <c r="AF168" s="212">
        <f t="shared" si="19"/>
        <v>0.17058303075702197</v>
      </c>
      <c r="AG168" s="212"/>
      <c r="AH168" s="212"/>
      <c r="AI168" s="212"/>
      <c r="AJ168" s="212"/>
      <c r="AK168" s="212"/>
      <c r="AL168" s="212"/>
      <c r="AM168" s="212"/>
      <c r="AN168" s="212"/>
      <c r="AO168" s="212"/>
      <c r="AP168" s="196"/>
      <c r="AQ168" s="196"/>
      <c r="AR168" s="211"/>
      <c r="AS168" s="212"/>
      <c r="AT168" s="212"/>
      <c r="AU168" s="212"/>
      <c r="AW168" s="58"/>
      <c r="AX168" s="58"/>
      <c r="AY168" s="58"/>
      <c r="AZ168" s="58"/>
    </row>
    <row r="169" spans="1:52" s="185" customFormat="1" ht="15" customHeight="1" x14ac:dyDescent="0.25">
      <c r="A169" s="200"/>
      <c r="B169" s="211"/>
      <c r="C169" s="212">
        <f t="shared" si="14"/>
        <v>15.79999999999996</v>
      </c>
      <c r="D169" s="231">
        <f>15+[2]!STEPLOAD(5)</f>
        <v>20</v>
      </c>
      <c r="E169" s="212">
        <f t="shared" si="15"/>
        <v>44.105352667108058</v>
      </c>
      <c r="F169" s="212">
        <f t="shared" si="16"/>
        <v>0.5</v>
      </c>
      <c r="G169" s="212">
        <f>5</f>
        <v>5</v>
      </c>
      <c r="H169" s="212">
        <f>60</f>
        <v>60</v>
      </c>
      <c r="I169" s="212">
        <f t="shared" si="17"/>
        <v>0.9</v>
      </c>
      <c r="J169" s="212">
        <f>1</f>
        <v>1</v>
      </c>
      <c r="K169" s="212">
        <f t="shared" si="18"/>
        <v>4.1870000000000003</v>
      </c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B169" s="212"/>
      <c r="AC169" s="196"/>
      <c r="AD169" s="27"/>
      <c r="AE169" s="213"/>
      <c r="AF169" s="212">
        <f t="shared" si="19"/>
        <v>0.16887720044945231</v>
      </c>
      <c r="AG169" s="212"/>
      <c r="AH169" s="212"/>
      <c r="AI169" s="212"/>
      <c r="AJ169" s="212"/>
      <c r="AK169" s="212"/>
      <c r="AL169" s="212"/>
      <c r="AM169" s="212"/>
      <c r="AN169" s="212"/>
      <c r="AO169" s="212"/>
      <c r="AP169" s="196"/>
      <c r="AQ169" s="196"/>
      <c r="AR169" s="211"/>
      <c r="AS169" s="212"/>
      <c r="AT169" s="212"/>
      <c r="AU169" s="212"/>
      <c r="AW169" s="58"/>
      <c r="AX169" s="58"/>
      <c r="AY169" s="58"/>
      <c r="AZ169" s="58"/>
    </row>
    <row r="170" spans="1:52" s="185" customFormat="1" ht="15" customHeight="1" x14ac:dyDescent="0.25">
      <c r="A170" s="200"/>
      <c r="B170" s="211"/>
      <c r="C170" s="212">
        <f t="shared" si="14"/>
        <v>15.899999999999959</v>
      </c>
      <c r="D170" s="231">
        <f>15+[2]!STEPLOAD(5)</f>
        <v>20</v>
      </c>
      <c r="E170" s="212">
        <f t="shared" si="15"/>
        <v>44.122240387153006</v>
      </c>
      <c r="F170" s="212">
        <f t="shared" si="16"/>
        <v>0.5</v>
      </c>
      <c r="G170" s="212">
        <f>5</f>
        <v>5</v>
      </c>
      <c r="H170" s="212">
        <f>60</f>
        <v>60</v>
      </c>
      <c r="I170" s="212">
        <f t="shared" si="17"/>
        <v>0.9</v>
      </c>
      <c r="J170" s="212">
        <f>1</f>
        <v>1</v>
      </c>
      <c r="K170" s="212">
        <f t="shared" si="18"/>
        <v>4.1870000000000003</v>
      </c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  <c r="AA170" s="212"/>
      <c r="AB170" s="212"/>
      <c r="AC170" s="196"/>
      <c r="AD170" s="27"/>
      <c r="AE170" s="213"/>
      <c r="AF170" s="212">
        <f t="shared" si="19"/>
        <v>0.16718842844495718</v>
      </c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196"/>
      <c r="AQ170" s="196"/>
      <c r="AR170" s="211"/>
      <c r="AS170" s="212"/>
      <c r="AT170" s="212"/>
      <c r="AU170" s="212"/>
      <c r="AW170" s="58"/>
      <c r="AX170" s="58"/>
      <c r="AY170" s="58"/>
      <c r="AZ170" s="58"/>
    </row>
    <row r="171" spans="1:52" s="185" customFormat="1" ht="15" customHeight="1" x14ac:dyDescent="0.25">
      <c r="A171" s="200"/>
      <c r="B171" s="211"/>
      <c r="C171" s="212">
        <f t="shared" si="14"/>
        <v>15.999999999999959</v>
      </c>
      <c r="D171" s="231">
        <f>15+[2]!STEPLOAD(5)</f>
        <v>20</v>
      </c>
      <c r="E171" s="212">
        <f t="shared" si="15"/>
        <v>44.138959229997504</v>
      </c>
      <c r="F171" s="212">
        <f t="shared" si="16"/>
        <v>0.5</v>
      </c>
      <c r="G171" s="212">
        <f>5</f>
        <v>5</v>
      </c>
      <c r="H171" s="212">
        <f>60</f>
        <v>60</v>
      </c>
      <c r="I171" s="212">
        <f t="shared" si="17"/>
        <v>0.9</v>
      </c>
      <c r="J171" s="212">
        <f>1</f>
        <v>1</v>
      </c>
      <c r="K171" s="212">
        <f t="shared" si="18"/>
        <v>4.1870000000000003</v>
      </c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  <c r="AA171" s="212"/>
      <c r="AB171" s="212"/>
      <c r="AC171" s="196"/>
      <c r="AD171" s="27"/>
      <c r="AE171" s="213"/>
      <c r="AF171" s="212">
        <f t="shared" si="19"/>
        <v>0.16551654416050754</v>
      </c>
      <c r="AG171" s="212"/>
      <c r="AH171" s="212"/>
      <c r="AI171" s="212"/>
      <c r="AJ171" s="212"/>
      <c r="AK171" s="212"/>
      <c r="AL171" s="212"/>
      <c r="AM171" s="212"/>
      <c r="AN171" s="212"/>
      <c r="AO171" s="212"/>
      <c r="AP171" s="196"/>
      <c r="AQ171" s="196"/>
      <c r="AR171" s="211"/>
      <c r="AS171" s="212"/>
      <c r="AT171" s="212"/>
      <c r="AU171" s="212"/>
      <c r="AW171" s="58"/>
      <c r="AX171" s="58"/>
      <c r="AY171" s="58"/>
      <c r="AZ171" s="58"/>
    </row>
    <row r="172" spans="1:52" s="185" customFormat="1" ht="15" customHeight="1" x14ac:dyDescent="0.25">
      <c r="A172" s="200"/>
      <c r="B172" s="211"/>
      <c r="C172" s="212">
        <f t="shared" si="14"/>
        <v>16.099999999999959</v>
      </c>
      <c r="D172" s="231">
        <f>15+[2]!STEPLOAD(5)</f>
        <v>20</v>
      </c>
      <c r="E172" s="212">
        <f t="shared" si="15"/>
        <v>44.155510884413552</v>
      </c>
      <c r="F172" s="212">
        <f t="shared" si="16"/>
        <v>0.5</v>
      </c>
      <c r="G172" s="212">
        <f>5</f>
        <v>5</v>
      </c>
      <c r="H172" s="212">
        <f>60</f>
        <v>60</v>
      </c>
      <c r="I172" s="212">
        <f t="shared" si="17"/>
        <v>0.9</v>
      </c>
      <c r="J172" s="212">
        <f>1</f>
        <v>1</v>
      </c>
      <c r="K172" s="212">
        <f t="shared" si="18"/>
        <v>4.1870000000000003</v>
      </c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  <c r="AA172" s="212"/>
      <c r="AB172" s="212"/>
      <c r="AC172" s="196"/>
      <c r="AD172" s="27"/>
      <c r="AE172" s="213"/>
      <c r="AF172" s="212">
        <f t="shared" si="19"/>
        <v>0.16386137871890272</v>
      </c>
      <c r="AG172" s="212"/>
      <c r="AH172" s="212"/>
      <c r="AI172" s="212"/>
      <c r="AJ172" s="212"/>
      <c r="AK172" s="212"/>
      <c r="AL172" s="212"/>
      <c r="AM172" s="212"/>
      <c r="AN172" s="212"/>
      <c r="AO172" s="212"/>
      <c r="AP172" s="196"/>
      <c r="AQ172" s="196"/>
      <c r="AR172" s="211"/>
      <c r="AS172" s="212"/>
      <c r="AT172" s="212"/>
      <c r="AU172" s="212"/>
      <c r="AW172" s="58"/>
      <c r="AX172" s="58"/>
      <c r="AY172" s="58"/>
      <c r="AZ172" s="58"/>
    </row>
    <row r="173" spans="1:52" s="185" customFormat="1" ht="15" customHeight="1" x14ac:dyDescent="0.25">
      <c r="A173" s="200"/>
      <c r="B173" s="211"/>
      <c r="C173" s="212">
        <f t="shared" si="14"/>
        <v>16.19999999999996</v>
      </c>
      <c r="D173" s="231">
        <f>15+[2]!STEPLOAD(5)</f>
        <v>20</v>
      </c>
      <c r="E173" s="212">
        <f t="shared" si="15"/>
        <v>44.171897022285442</v>
      </c>
      <c r="F173" s="212">
        <f t="shared" si="16"/>
        <v>0.5</v>
      </c>
      <c r="G173" s="212">
        <f>5</f>
        <v>5</v>
      </c>
      <c r="H173" s="212">
        <f>60</f>
        <v>60</v>
      </c>
      <c r="I173" s="212">
        <f t="shared" si="17"/>
        <v>0.9</v>
      </c>
      <c r="J173" s="212">
        <f>1</f>
        <v>1</v>
      </c>
      <c r="K173" s="212">
        <f t="shared" si="18"/>
        <v>4.1870000000000003</v>
      </c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196"/>
      <c r="AD173" s="27"/>
      <c r="AE173" s="213"/>
      <c r="AF173" s="212">
        <f t="shared" si="19"/>
        <v>0.16222276493171384</v>
      </c>
      <c r="AG173" s="212"/>
      <c r="AH173" s="212"/>
      <c r="AI173" s="212"/>
      <c r="AJ173" s="212"/>
      <c r="AK173" s="212"/>
      <c r="AL173" s="212"/>
      <c r="AM173" s="212"/>
      <c r="AN173" s="212"/>
      <c r="AO173" s="212"/>
      <c r="AP173" s="196"/>
      <c r="AQ173" s="196"/>
      <c r="AR173" s="211"/>
      <c r="AS173" s="212"/>
      <c r="AT173" s="212"/>
      <c r="AU173" s="212"/>
      <c r="AW173" s="58"/>
      <c r="AX173" s="58"/>
      <c r="AY173" s="58"/>
      <c r="AZ173" s="58"/>
    </row>
    <row r="174" spans="1:52" s="185" customFormat="1" ht="15" customHeight="1" x14ac:dyDescent="0.25">
      <c r="A174" s="200"/>
      <c r="B174" s="211"/>
      <c r="C174" s="212">
        <f t="shared" si="14"/>
        <v>16.299999999999962</v>
      </c>
      <c r="D174" s="231">
        <f>15+[2]!STEPLOAD(5)</f>
        <v>20</v>
      </c>
      <c r="E174" s="212">
        <f t="shared" si="15"/>
        <v>44.188119298778616</v>
      </c>
      <c r="F174" s="212">
        <f t="shared" si="16"/>
        <v>0.5</v>
      </c>
      <c r="G174" s="212">
        <f>5</f>
        <v>5</v>
      </c>
      <c r="H174" s="212">
        <f>60</f>
        <v>60</v>
      </c>
      <c r="I174" s="212">
        <f t="shared" si="17"/>
        <v>0.9</v>
      </c>
      <c r="J174" s="212">
        <f>1</f>
        <v>1</v>
      </c>
      <c r="K174" s="212">
        <f t="shared" si="18"/>
        <v>4.1870000000000003</v>
      </c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2"/>
      <c r="AC174" s="196"/>
      <c r="AD174" s="27"/>
      <c r="AE174" s="213"/>
      <c r="AF174" s="212">
        <f t="shared" si="19"/>
        <v>0.16060053728239643</v>
      </c>
      <c r="AG174" s="212"/>
      <c r="AH174" s="212"/>
      <c r="AI174" s="212"/>
      <c r="AJ174" s="212"/>
      <c r="AK174" s="212"/>
      <c r="AL174" s="212"/>
      <c r="AM174" s="212"/>
      <c r="AN174" s="212"/>
      <c r="AO174" s="212"/>
      <c r="AP174" s="196"/>
      <c r="AQ174" s="196"/>
      <c r="AR174" s="211"/>
      <c r="AS174" s="212"/>
      <c r="AT174" s="212"/>
      <c r="AU174" s="212"/>
      <c r="AW174" s="58"/>
      <c r="AX174" s="58"/>
      <c r="AY174" s="58"/>
      <c r="AZ174" s="58"/>
    </row>
    <row r="175" spans="1:52" s="185" customFormat="1" ht="15" customHeight="1" x14ac:dyDescent="0.25">
      <c r="A175" s="200"/>
      <c r="B175" s="211"/>
      <c r="C175" s="212">
        <f t="shared" si="14"/>
        <v>16.399999999999963</v>
      </c>
      <c r="D175" s="231">
        <f>15+[2]!STEPLOAD(5)</f>
        <v>20</v>
      </c>
      <c r="E175" s="212">
        <f t="shared" si="15"/>
        <v>44.204179352506856</v>
      </c>
      <c r="F175" s="212">
        <f t="shared" si="16"/>
        <v>0.5</v>
      </c>
      <c r="G175" s="212">
        <f>5</f>
        <v>5</v>
      </c>
      <c r="H175" s="212">
        <f>60</f>
        <v>60</v>
      </c>
      <c r="I175" s="212">
        <f t="shared" si="17"/>
        <v>0.9</v>
      </c>
      <c r="J175" s="212">
        <f>1</f>
        <v>1</v>
      </c>
      <c r="K175" s="212">
        <f t="shared" si="18"/>
        <v>4.1870000000000003</v>
      </c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196"/>
      <c r="AD175" s="27"/>
      <c r="AE175" s="213"/>
      <c r="AF175" s="212">
        <f t="shared" si="19"/>
        <v>0.15899453190957225</v>
      </c>
      <c r="AG175" s="212"/>
      <c r="AH175" s="212"/>
      <c r="AI175" s="212"/>
      <c r="AJ175" s="212"/>
      <c r="AK175" s="212"/>
      <c r="AL175" s="212"/>
      <c r="AM175" s="212"/>
      <c r="AN175" s="212"/>
      <c r="AO175" s="212"/>
      <c r="AP175" s="196"/>
      <c r="AQ175" s="196"/>
      <c r="AR175" s="211"/>
      <c r="AS175" s="212"/>
      <c r="AT175" s="212"/>
      <c r="AU175" s="212"/>
      <c r="AW175" s="58"/>
      <c r="AX175" s="58"/>
      <c r="AY175" s="58"/>
      <c r="AZ175" s="58"/>
    </row>
    <row r="176" spans="1:52" s="185" customFormat="1" ht="15" customHeight="1" x14ac:dyDescent="0.25">
      <c r="A176" s="200"/>
      <c r="B176" s="211"/>
      <c r="C176" s="212">
        <f t="shared" si="14"/>
        <v>16.499999999999964</v>
      </c>
      <c r="D176" s="231">
        <f>15+[2]!STEPLOAD(5)</f>
        <v>20</v>
      </c>
      <c r="E176" s="212">
        <f t="shared" si="15"/>
        <v>44.22007880569781</v>
      </c>
      <c r="F176" s="212">
        <f t="shared" si="16"/>
        <v>0.5</v>
      </c>
      <c r="G176" s="212">
        <f>5</f>
        <v>5</v>
      </c>
      <c r="H176" s="212">
        <f>60</f>
        <v>60</v>
      </c>
      <c r="I176" s="212">
        <f t="shared" si="17"/>
        <v>0.9</v>
      </c>
      <c r="J176" s="212">
        <f>1</f>
        <v>1</v>
      </c>
      <c r="K176" s="212">
        <f t="shared" si="18"/>
        <v>4.1870000000000003</v>
      </c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2"/>
      <c r="AC176" s="196"/>
      <c r="AD176" s="27"/>
      <c r="AE176" s="213"/>
      <c r="AF176" s="212">
        <f t="shared" si="19"/>
        <v>0.15740458659047674</v>
      </c>
      <c r="AG176" s="212"/>
      <c r="AH176" s="212"/>
      <c r="AI176" s="212"/>
      <c r="AJ176" s="212"/>
      <c r="AK176" s="212"/>
      <c r="AL176" s="212"/>
      <c r="AM176" s="212"/>
      <c r="AN176" s="212"/>
      <c r="AO176" s="212"/>
      <c r="AP176" s="196"/>
      <c r="AQ176" s="196"/>
      <c r="AR176" s="211"/>
      <c r="AS176" s="212"/>
      <c r="AT176" s="212"/>
      <c r="AU176" s="212"/>
      <c r="AW176" s="58"/>
      <c r="AX176" s="58"/>
      <c r="AY176" s="58"/>
      <c r="AZ176" s="58"/>
    </row>
    <row r="177" spans="1:52" s="185" customFormat="1" ht="15" customHeight="1" x14ac:dyDescent="0.25">
      <c r="A177" s="200"/>
      <c r="B177" s="211"/>
      <c r="C177" s="212">
        <f t="shared" si="14"/>
        <v>16.599999999999966</v>
      </c>
      <c r="D177" s="231">
        <f>15+[2]!STEPLOAD(5)</f>
        <v>20</v>
      </c>
      <c r="E177" s="212">
        <f t="shared" si="15"/>
        <v>44.235819264356856</v>
      </c>
      <c r="F177" s="212">
        <f t="shared" si="16"/>
        <v>0.5</v>
      </c>
      <c r="G177" s="212">
        <f>5</f>
        <v>5</v>
      </c>
      <c r="H177" s="212">
        <f>60</f>
        <v>60</v>
      </c>
      <c r="I177" s="212">
        <f t="shared" si="17"/>
        <v>0.9</v>
      </c>
      <c r="J177" s="212">
        <f>1</f>
        <v>1</v>
      </c>
      <c r="K177" s="212">
        <f t="shared" si="18"/>
        <v>4.1870000000000003</v>
      </c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2"/>
      <c r="AC177" s="196"/>
      <c r="AD177" s="27"/>
      <c r="AE177" s="213"/>
      <c r="AF177" s="212">
        <f t="shared" si="19"/>
        <v>0.15583054072457214</v>
      </c>
      <c r="AG177" s="212"/>
      <c r="AH177" s="212"/>
      <c r="AI177" s="212"/>
      <c r="AJ177" s="212"/>
      <c r="AK177" s="212"/>
      <c r="AL177" s="212"/>
      <c r="AM177" s="212"/>
      <c r="AN177" s="212"/>
      <c r="AO177" s="212"/>
      <c r="AP177" s="196"/>
      <c r="AQ177" s="196"/>
      <c r="AR177" s="211"/>
      <c r="AS177" s="212"/>
      <c r="AT177" s="212"/>
      <c r="AU177" s="212"/>
      <c r="AW177" s="58"/>
      <c r="AX177" s="58"/>
      <c r="AY177" s="58"/>
      <c r="AZ177" s="58"/>
    </row>
    <row r="178" spans="1:52" s="185" customFormat="1" ht="15" customHeight="1" x14ac:dyDescent="0.25">
      <c r="A178" s="200"/>
      <c r="B178" s="211"/>
      <c r="C178" s="212">
        <f t="shared" si="14"/>
        <v>16.699999999999967</v>
      </c>
      <c r="D178" s="231">
        <f>15+[2]!STEPLOAD(5)</f>
        <v>20</v>
      </c>
      <c r="E178" s="212">
        <f t="shared" si="15"/>
        <v>44.251402318429314</v>
      </c>
      <c r="F178" s="212">
        <f t="shared" si="16"/>
        <v>0.5</v>
      </c>
      <c r="G178" s="212">
        <f>5</f>
        <v>5</v>
      </c>
      <c r="H178" s="212">
        <f>60</f>
        <v>60</v>
      </c>
      <c r="I178" s="212">
        <f t="shared" si="17"/>
        <v>0.9</v>
      </c>
      <c r="J178" s="212">
        <f>1</f>
        <v>1</v>
      </c>
      <c r="K178" s="212">
        <f t="shared" si="18"/>
        <v>4.1870000000000003</v>
      </c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2"/>
      <c r="AC178" s="196"/>
      <c r="AD178" s="27"/>
      <c r="AE178" s="213"/>
      <c r="AF178" s="212">
        <f t="shared" si="19"/>
        <v>0.1542722353173267</v>
      </c>
      <c r="AG178" s="212"/>
      <c r="AH178" s="212"/>
      <c r="AI178" s="212"/>
      <c r="AJ178" s="212"/>
      <c r="AK178" s="212"/>
      <c r="AL178" s="212"/>
      <c r="AM178" s="212"/>
      <c r="AN178" s="212"/>
      <c r="AO178" s="212"/>
      <c r="AP178" s="196"/>
      <c r="AQ178" s="196"/>
      <c r="AR178" s="211"/>
      <c r="AS178" s="212"/>
      <c r="AT178" s="212"/>
      <c r="AU178" s="212"/>
      <c r="AW178" s="58"/>
      <c r="AX178" s="58"/>
      <c r="AY178" s="58"/>
      <c r="AZ178" s="58"/>
    </row>
    <row r="179" spans="1:52" s="185" customFormat="1" ht="15" customHeight="1" x14ac:dyDescent="0.25">
      <c r="A179" s="200"/>
      <c r="B179" s="211"/>
      <c r="C179" s="212">
        <f t="shared" si="14"/>
        <v>16.799999999999969</v>
      </c>
      <c r="D179" s="231">
        <f>15+[2]!STEPLOAD(5)</f>
        <v>20</v>
      </c>
      <c r="E179" s="212">
        <f t="shared" si="15"/>
        <v>44.266829541961044</v>
      </c>
      <c r="F179" s="212">
        <f t="shared" si="16"/>
        <v>0.5</v>
      </c>
      <c r="G179" s="212">
        <f>5</f>
        <v>5</v>
      </c>
      <c r="H179" s="212">
        <f>60</f>
        <v>60</v>
      </c>
      <c r="I179" s="212">
        <f t="shared" si="17"/>
        <v>0.9</v>
      </c>
      <c r="J179" s="212">
        <f>1</f>
        <v>1</v>
      </c>
      <c r="K179" s="212">
        <f t="shared" si="18"/>
        <v>4.1870000000000003</v>
      </c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  <c r="AA179" s="212"/>
      <c r="AB179" s="212"/>
      <c r="AC179" s="196"/>
      <c r="AD179" s="27"/>
      <c r="AE179" s="213"/>
      <c r="AF179" s="212">
        <f t="shared" si="19"/>
        <v>0.15272951296415327</v>
      </c>
      <c r="AG179" s="212"/>
      <c r="AH179" s="212"/>
      <c r="AI179" s="212"/>
      <c r="AJ179" s="212"/>
      <c r="AK179" s="212"/>
      <c r="AL179" s="212"/>
      <c r="AM179" s="212"/>
      <c r="AN179" s="212"/>
      <c r="AO179" s="212"/>
      <c r="AP179" s="196"/>
      <c r="AQ179" s="196"/>
      <c r="AR179" s="211"/>
      <c r="AS179" s="212"/>
      <c r="AT179" s="212"/>
      <c r="AU179" s="212"/>
      <c r="AW179" s="58"/>
      <c r="AX179" s="58"/>
      <c r="AY179" s="58"/>
      <c r="AZ179" s="58"/>
    </row>
    <row r="180" spans="1:52" s="185" customFormat="1" ht="15" customHeight="1" x14ac:dyDescent="0.25">
      <c r="A180" s="200"/>
      <c r="B180" s="211"/>
      <c r="C180" s="212">
        <f t="shared" si="14"/>
        <v>16.89999999999997</v>
      </c>
      <c r="D180" s="231">
        <f>15+[2]!STEPLOAD(5)</f>
        <v>20</v>
      </c>
      <c r="E180" s="212">
        <f t="shared" si="15"/>
        <v>44.282102493257462</v>
      </c>
      <c r="F180" s="212">
        <f t="shared" si="16"/>
        <v>0.5</v>
      </c>
      <c r="G180" s="212">
        <f>5</f>
        <v>5</v>
      </c>
      <c r="H180" s="212">
        <f>60</f>
        <v>60</v>
      </c>
      <c r="I180" s="212">
        <f t="shared" si="17"/>
        <v>0.9</v>
      </c>
      <c r="J180" s="212">
        <f>1</f>
        <v>1</v>
      </c>
      <c r="K180" s="212">
        <f t="shared" si="18"/>
        <v>4.1870000000000003</v>
      </c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  <c r="AA180" s="212"/>
      <c r="AB180" s="212"/>
      <c r="AC180" s="196"/>
      <c r="AD180" s="27"/>
      <c r="AE180" s="213"/>
      <c r="AF180" s="212">
        <f t="shared" si="19"/>
        <v>0.15120221783451182</v>
      </c>
      <c r="AG180" s="212"/>
      <c r="AH180" s="212"/>
      <c r="AI180" s="212"/>
      <c r="AJ180" s="212"/>
      <c r="AK180" s="212"/>
      <c r="AL180" s="212"/>
      <c r="AM180" s="212"/>
      <c r="AN180" s="212"/>
      <c r="AO180" s="212"/>
      <c r="AP180" s="196"/>
      <c r="AQ180" s="196"/>
      <c r="AR180" s="211"/>
      <c r="AS180" s="212"/>
      <c r="AT180" s="212"/>
      <c r="AU180" s="212"/>
      <c r="AW180" s="58"/>
      <c r="AX180" s="58"/>
      <c r="AY180" s="58"/>
      <c r="AZ180" s="58"/>
    </row>
    <row r="181" spans="1:52" s="185" customFormat="1" ht="15" customHeight="1" x14ac:dyDescent="0.25">
      <c r="A181" s="200"/>
      <c r="B181" s="211"/>
      <c r="C181" s="212">
        <f t="shared" si="14"/>
        <v>16.999999999999972</v>
      </c>
      <c r="D181" s="231">
        <f>15+[2]!STEPLOAD(5)</f>
        <v>20</v>
      </c>
      <c r="E181" s="212">
        <f t="shared" si="15"/>
        <v>44.29722271504091</v>
      </c>
      <c r="F181" s="212">
        <f t="shared" si="16"/>
        <v>0.5</v>
      </c>
      <c r="G181" s="212">
        <f>5</f>
        <v>5</v>
      </c>
      <c r="H181" s="212">
        <f>60</f>
        <v>60</v>
      </c>
      <c r="I181" s="212">
        <f t="shared" si="17"/>
        <v>0.9</v>
      </c>
      <c r="J181" s="212">
        <f>1</f>
        <v>1</v>
      </c>
      <c r="K181" s="212">
        <f t="shared" si="18"/>
        <v>4.1870000000000003</v>
      </c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  <c r="AA181" s="212"/>
      <c r="AB181" s="212"/>
      <c r="AC181" s="196"/>
      <c r="AD181" s="27"/>
      <c r="AE181" s="213"/>
      <c r="AF181" s="212">
        <f t="shared" si="19"/>
        <v>0.14969019565616692</v>
      </c>
      <c r="AG181" s="212"/>
      <c r="AH181" s="212"/>
      <c r="AI181" s="212"/>
      <c r="AJ181" s="212"/>
      <c r="AK181" s="212"/>
      <c r="AL181" s="212"/>
      <c r="AM181" s="212"/>
      <c r="AN181" s="212"/>
      <c r="AO181" s="212"/>
      <c r="AP181" s="196"/>
      <c r="AQ181" s="196"/>
      <c r="AR181" s="211"/>
      <c r="AS181" s="212"/>
      <c r="AT181" s="212"/>
      <c r="AU181" s="212"/>
      <c r="AW181" s="58"/>
      <c r="AX181" s="58"/>
      <c r="AY181" s="58"/>
      <c r="AZ181" s="58"/>
    </row>
    <row r="182" spans="1:52" s="185" customFormat="1" ht="15" customHeight="1" x14ac:dyDescent="0.25">
      <c r="A182" s="200"/>
      <c r="B182" s="211"/>
      <c r="C182" s="212">
        <f t="shared" si="14"/>
        <v>17.099999999999973</v>
      </c>
      <c r="D182" s="231">
        <f>15+[2]!STEPLOAD(5)</f>
        <v>20</v>
      </c>
      <c r="E182" s="212">
        <f t="shared" si="15"/>
        <v>44.312191734606529</v>
      </c>
      <c r="F182" s="212">
        <f t="shared" si="16"/>
        <v>0.5</v>
      </c>
      <c r="G182" s="212">
        <f>5</f>
        <v>5</v>
      </c>
      <c r="H182" s="212">
        <f>60</f>
        <v>60</v>
      </c>
      <c r="I182" s="212">
        <f t="shared" si="17"/>
        <v>0.9</v>
      </c>
      <c r="J182" s="212">
        <f>1</f>
        <v>1</v>
      </c>
      <c r="K182" s="212">
        <f t="shared" si="18"/>
        <v>4.1870000000000003</v>
      </c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  <c r="AA182" s="212"/>
      <c r="AB182" s="212"/>
      <c r="AC182" s="196"/>
      <c r="AD182" s="27"/>
      <c r="AE182" s="213"/>
      <c r="AF182" s="212">
        <f t="shared" si="19"/>
        <v>0.1481932936996051</v>
      </c>
      <c r="AG182" s="212"/>
      <c r="AH182" s="212"/>
      <c r="AI182" s="212"/>
      <c r="AJ182" s="212"/>
      <c r="AK182" s="212"/>
      <c r="AL182" s="212"/>
      <c r="AM182" s="212"/>
      <c r="AN182" s="212"/>
      <c r="AO182" s="212"/>
      <c r="AP182" s="196"/>
      <c r="AQ182" s="196"/>
      <c r="AR182" s="211"/>
      <c r="AS182" s="212"/>
      <c r="AT182" s="212"/>
      <c r="AU182" s="212"/>
      <c r="AW182" s="58"/>
      <c r="AX182" s="58"/>
      <c r="AY182" s="58"/>
      <c r="AZ182" s="58"/>
    </row>
    <row r="183" spans="1:52" s="185" customFormat="1" ht="15" customHeight="1" x14ac:dyDescent="0.25">
      <c r="A183" s="200"/>
      <c r="B183" s="211"/>
      <c r="C183" s="212">
        <f t="shared" si="14"/>
        <v>17.199999999999974</v>
      </c>
      <c r="D183" s="231">
        <f>15+[2]!STEPLOAD(5)</f>
        <v>20</v>
      </c>
      <c r="E183" s="212">
        <f t="shared" si="15"/>
        <v>44.327011063976492</v>
      </c>
      <c r="F183" s="212">
        <f t="shared" si="16"/>
        <v>0.5</v>
      </c>
      <c r="G183" s="212">
        <f>5</f>
        <v>5</v>
      </c>
      <c r="H183" s="212">
        <f>60</f>
        <v>60</v>
      </c>
      <c r="I183" s="212">
        <f t="shared" si="17"/>
        <v>0.9</v>
      </c>
      <c r="J183" s="212">
        <f>1</f>
        <v>1</v>
      </c>
      <c r="K183" s="212">
        <f t="shared" si="18"/>
        <v>4.1870000000000003</v>
      </c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  <c r="AA183" s="212"/>
      <c r="AB183" s="212"/>
      <c r="AC183" s="196"/>
      <c r="AD183" s="27"/>
      <c r="AE183" s="213"/>
      <c r="AF183" s="212">
        <f t="shared" si="19"/>
        <v>0.14671136076260849</v>
      </c>
      <c r="AG183" s="212"/>
      <c r="AH183" s="212"/>
      <c r="AI183" s="212"/>
      <c r="AJ183" s="212"/>
      <c r="AK183" s="212"/>
      <c r="AL183" s="212"/>
      <c r="AM183" s="212"/>
      <c r="AN183" s="212"/>
      <c r="AO183" s="212"/>
      <c r="AP183" s="196"/>
      <c r="AQ183" s="196"/>
      <c r="AR183" s="211"/>
      <c r="AS183" s="212"/>
      <c r="AT183" s="212"/>
      <c r="AU183" s="212"/>
      <c r="AW183" s="58"/>
      <c r="AX183" s="58"/>
      <c r="AY183" s="58"/>
      <c r="AZ183" s="58"/>
    </row>
    <row r="184" spans="1:52" s="185" customFormat="1" ht="15" customHeight="1" x14ac:dyDescent="0.25">
      <c r="A184" s="200"/>
      <c r="B184" s="211"/>
      <c r="C184" s="212">
        <f t="shared" si="14"/>
        <v>17.299999999999976</v>
      </c>
      <c r="D184" s="231">
        <f>15+[2]!STEPLOAD(5)</f>
        <v>20</v>
      </c>
      <c r="E184" s="212">
        <f t="shared" si="15"/>
        <v>44.341682200052752</v>
      </c>
      <c r="F184" s="212">
        <f t="shared" si="16"/>
        <v>0.5</v>
      </c>
      <c r="G184" s="212">
        <f>5</f>
        <v>5</v>
      </c>
      <c r="H184" s="212">
        <f>60</f>
        <v>60</v>
      </c>
      <c r="I184" s="212">
        <f t="shared" si="17"/>
        <v>0.9</v>
      </c>
      <c r="J184" s="212">
        <f>1</f>
        <v>1</v>
      </c>
      <c r="K184" s="212">
        <f t="shared" si="18"/>
        <v>4.1870000000000003</v>
      </c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  <c r="AA184" s="212"/>
      <c r="AB184" s="212"/>
      <c r="AC184" s="196"/>
      <c r="AD184" s="27"/>
      <c r="AE184" s="213"/>
      <c r="AF184" s="212">
        <f t="shared" si="19"/>
        <v>0.14524424715498263</v>
      </c>
      <c r="AG184" s="212"/>
      <c r="AH184" s="212"/>
      <c r="AI184" s="212"/>
      <c r="AJ184" s="212"/>
      <c r="AK184" s="212"/>
      <c r="AL184" s="212"/>
      <c r="AM184" s="212"/>
      <c r="AN184" s="212"/>
      <c r="AO184" s="212"/>
      <c r="AP184" s="196"/>
      <c r="AQ184" s="196"/>
      <c r="AR184" s="211"/>
      <c r="AS184" s="212"/>
      <c r="AT184" s="212"/>
      <c r="AU184" s="212"/>
      <c r="AW184" s="58"/>
      <c r="AX184" s="58"/>
      <c r="AY184" s="58"/>
      <c r="AZ184" s="58"/>
    </row>
    <row r="185" spans="1:52" s="185" customFormat="1" ht="15" customHeight="1" x14ac:dyDescent="0.25">
      <c r="A185" s="200"/>
      <c r="B185" s="211"/>
      <c r="C185" s="212">
        <f t="shared" si="14"/>
        <v>17.399999999999977</v>
      </c>
      <c r="D185" s="231">
        <f>15+[2]!STEPLOAD(5)</f>
        <v>20</v>
      </c>
      <c r="E185" s="212">
        <f t="shared" si="15"/>
        <v>44.356206624768248</v>
      </c>
      <c r="F185" s="212">
        <f t="shared" si="16"/>
        <v>0.5</v>
      </c>
      <c r="G185" s="212">
        <f>5</f>
        <v>5</v>
      </c>
      <c r="H185" s="212">
        <f>60</f>
        <v>60</v>
      </c>
      <c r="I185" s="212">
        <f t="shared" si="17"/>
        <v>0.9</v>
      </c>
      <c r="J185" s="212">
        <f>1</f>
        <v>1</v>
      </c>
      <c r="K185" s="212">
        <f t="shared" si="18"/>
        <v>4.1870000000000003</v>
      </c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196"/>
      <c r="AD185" s="27"/>
      <c r="AE185" s="213"/>
      <c r="AF185" s="212">
        <f t="shared" si="19"/>
        <v>0.143791804683433</v>
      </c>
      <c r="AG185" s="212"/>
      <c r="AH185" s="212"/>
      <c r="AI185" s="212"/>
      <c r="AJ185" s="212"/>
      <c r="AK185" s="212"/>
      <c r="AL185" s="212"/>
      <c r="AM185" s="212"/>
      <c r="AN185" s="212"/>
      <c r="AO185" s="212"/>
      <c r="AP185" s="196"/>
      <c r="AQ185" s="196"/>
      <c r="AR185" s="211"/>
      <c r="AS185" s="212"/>
      <c r="AT185" s="212"/>
      <c r="AU185" s="212"/>
      <c r="AW185" s="58"/>
      <c r="AX185" s="58"/>
      <c r="AY185" s="58"/>
      <c r="AZ185" s="58"/>
    </row>
    <row r="186" spans="1:52" s="185" customFormat="1" ht="15" customHeight="1" x14ac:dyDescent="0.25">
      <c r="A186" s="200"/>
      <c r="B186" s="211"/>
      <c r="C186" s="212">
        <f t="shared" si="14"/>
        <v>17.499999999999979</v>
      </c>
      <c r="D186" s="231">
        <f>15+[2]!STEPLOAD(5)</f>
        <v>20</v>
      </c>
      <c r="E186" s="212">
        <f t="shared" si="15"/>
        <v>44.370585805236594</v>
      </c>
      <c r="F186" s="212">
        <f t="shared" si="16"/>
        <v>0.5</v>
      </c>
      <c r="G186" s="212">
        <f>5</f>
        <v>5</v>
      </c>
      <c r="H186" s="212">
        <f>60</f>
        <v>60</v>
      </c>
      <c r="I186" s="212">
        <f t="shared" si="17"/>
        <v>0.9</v>
      </c>
      <c r="J186" s="212">
        <f>1</f>
        <v>1</v>
      </c>
      <c r="K186" s="212">
        <f t="shared" si="18"/>
        <v>4.1870000000000003</v>
      </c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  <c r="AA186" s="212"/>
      <c r="AB186" s="212"/>
      <c r="AC186" s="196"/>
      <c r="AD186" s="27"/>
      <c r="AE186" s="213"/>
      <c r="AF186" s="212">
        <f t="shared" si="19"/>
        <v>0.14235388663659831</v>
      </c>
      <c r="AG186" s="212"/>
      <c r="AH186" s="212"/>
      <c r="AI186" s="212"/>
      <c r="AJ186" s="212"/>
      <c r="AK186" s="212"/>
      <c r="AL186" s="212"/>
      <c r="AM186" s="212"/>
      <c r="AN186" s="212"/>
      <c r="AO186" s="212"/>
      <c r="AP186" s="196"/>
      <c r="AQ186" s="196"/>
      <c r="AR186" s="211"/>
      <c r="AS186" s="212"/>
      <c r="AT186" s="212"/>
      <c r="AU186" s="212"/>
      <c r="AW186" s="58"/>
      <c r="AX186" s="58"/>
      <c r="AY186" s="58"/>
      <c r="AZ186" s="58"/>
    </row>
    <row r="187" spans="1:52" s="185" customFormat="1" ht="15" customHeight="1" x14ac:dyDescent="0.25">
      <c r="A187" s="200"/>
      <c r="B187" s="211"/>
      <c r="C187" s="212">
        <f t="shared" si="14"/>
        <v>17.59999999999998</v>
      </c>
      <c r="D187" s="231">
        <f>15+[2]!STEPLOAD(5)</f>
        <v>20</v>
      </c>
      <c r="E187" s="212">
        <f t="shared" si="15"/>
        <v>44.384821193900251</v>
      </c>
      <c r="F187" s="212">
        <f t="shared" si="16"/>
        <v>0.5</v>
      </c>
      <c r="G187" s="212">
        <f>5</f>
        <v>5</v>
      </c>
      <c r="H187" s="212">
        <f>60</f>
        <v>60</v>
      </c>
      <c r="I187" s="212">
        <f t="shared" si="17"/>
        <v>0.9</v>
      </c>
      <c r="J187" s="212">
        <f>1</f>
        <v>1</v>
      </c>
      <c r="K187" s="212">
        <f t="shared" si="18"/>
        <v>4.1870000000000003</v>
      </c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2"/>
      <c r="AC187" s="196"/>
      <c r="AD187" s="27"/>
      <c r="AE187" s="213"/>
      <c r="AF187" s="212">
        <f t="shared" si="19"/>
        <v>0.14093034777023261</v>
      </c>
      <c r="AG187" s="212"/>
      <c r="AH187" s="212"/>
      <c r="AI187" s="212"/>
      <c r="AJ187" s="212"/>
      <c r="AK187" s="212"/>
      <c r="AL187" s="212"/>
      <c r="AM187" s="212"/>
      <c r="AN187" s="212"/>
      <c r="AO187" s="212"/>
      <c r="AP187" s="196"/>
      <c r="AQ187" s="196"/>
      <c r="AR187" s="211"/>
      <c r="AS187" s="212"/>
      <c r="AT187" s="212"/>
      <c r="AU187" s="212"/>
      <c r="AW187" s="58"/>
      <c r="AX187" s="58"/>
      <c r="AY187" s="58"/>
      <c r="AZ187" s="58"/>
    </row>
    <row r="188" spans="1:52" s="185" customFormat="1" ht="15" customHeight="1" x14ac:dyDescent="0.25">
      <c r="A188" s="200"/>
      <c r="B188" s="211"/>
      <c r="C188" s="212">
        <f t="shared" si="14"/>
        <v>17.699999999999982</v>
      </c>
      <c r="D188" s="231">
        <f>15+[2]!STEPLOAD(5)</f>
        <v>20</v>
      </c>
      <c r="E188" s="212">
        <f t="shared" si="15"/>
        <v>44.398914228677278</v>
      </c>
      <c r="F188" s="212">
        <f t="shared" si="16"/>
        <v>0.5</v>
      </c>
      <c r="G188" s="212">
        <f>5</f>
        <v>5</v>
      </c>
      <c r="H188" s="212">
        <f>60</f>
        <v>60</v>
      </c>
      <c r="I188" s="212">
        <f t="shared" si="17"/>
        <v>0.9</v>
      </c>
      <c r="J188" s="212">
        <f>1</f>
        <v>1</v>
      </c>
      <c r="K188" s="212">
        <f t="shared" si="18"/>
        <v>4.1870000000000003</v>
      </c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  <c r="AA188" s="212"/>
      <c r="AB188" s="212"/>
      <c r="AC188" s="196"/>
      <c r="AD188" s="27"/>
      <c r="AE188" s="213"/>
      <c r="AF188" s="212">
        <f t="shared" si="19"/>
        <v>0.13952104429253032</v>
      </c>
      <c r="AG188" s="212"/>
      <c r="AH188" s="212"/>
      <c r="AI188" s="212"/>
      <c r="AJ188" s="212"/>
      <c r="AK188" s="212"/>
      <c r="AL188" s="212"/>
      <c r="AM188" s="212"/>
      <c r="AN188" s="212"/>
      <c r="AO188" s="212"/>
      <c r="AP188" s="196"/>
      <c r="AQ188" s="196"/>
      <c r="AR188" s="211"/>
      <c r="AS188" s="212"/>
      <c r="AT188" s="212"/>
      <c r="AU188" s="212"/>
      <c r="AW188" s="58"/>
      <c r="AX188" s="58"/>
      <c r="AY188" s="58"/>
      <c r="AZ188" s="58"/>
    </row>
    <row r="189" spans="1:52" s="185" customFormat="1" ht="15" customHeight="1" x14ac:dyDescent="0.25">
      <c r="A189" s="200"/>
      <c r="B189" s="211"/>
      <c r="C189" s="212">
        <f t="shared" si="14"/>
        <v>17.799999999999983</v>
      </c>
      <c r="D189" s="231">
        <f>15+[2]!STEPLOAD(5)</f>
        <v>20</v>
      </c>
      <c r="E189" s="212">
        <f t="shared" si="15"/>
        <v>44.412866333106528</v>
      </c>
      <c r="F189" s="212">
        <f t="shared" si="16"/>
        <v>0.5</v>
      </c>
      <c r="G189" s="212">
        <f>5</f>
        <v>5</v>
      </c>
      <c r="H189" s="212">
        <f>60</f>
        <v>60</v>
      </c>
      <c r="I189" s="212">
        <f t="shared" si="17"/>
        <v>0.9</v>
      </c>
      <c r="J189" s="212">
        <f>1</f>
        <v>1</v>
      </c>
      <c r="K189" s="212">
        <f t="shared" si="18"/>
        <v>4.1870000000000003</v>
      </c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  <c r="AA189" s="212"/>
      <c r="AB189" s="212"/>
      <c r="AC189" s="196"/>
      <c r="AD189" s="27"/>
      <c r="AE189" s="213"/>
      <c r="AF189" s="212">
        <f t="shared" si="19"/>
        <v>0.13812583384960497</v>
      </c>
      <c r="AG189" s="212"/>
      <c r="AH189" s="212"/>
      <c r="AI189" s="212"/>
      <c r="AJ189" s="212"/>
      <c r="AK189" s="212"/>
      <c r="AL189" s="212"/>
      <c r="AM189" s="212"/>
      <c r="AN189" s="212"/>
      <c r="AO189" s="212"/>
      <c r="AP189" s="196"/>
      <c r="AQ189" s="196"/>
      <c r="AR189" s="211"/>
      <c r="AS189" s="212"/>
      <c r="AT189" s="212"/>
      <c r="AU189" s="212"/>
      <c r="AW189" s="58"/>
      <c r="AX189" s="58"/>
      <c r="AY189" s="58"/>
      <c r="AZ189" s="58"/>
    </row>
    <row r="190" spans="1:52" s="185" customFormat="1" ht="15" customHeight="1" x14ac:dyDescent="0.25">
      <c r="A190" s="200"/>
      <c r="B190" s="211"/>
      <c r="C190" s="212">
        <f t="shared" si="14"/>
        <v>17.899999999999984</v>
      </c>
      <c r="D190" s="231">
        <f>15+[2]!STEPLOAD(5)</f>
        <v>20</v>
      </c>
      <c r="E190" s="212">
        <f t="shared" si="15"/>
        <v>44.42667891649149</v>
      </c>
      <c r="F190" s="212">
        <f t="shared" si="16"/>
        <v>0.5</v>
      </c>
      <c r="G190" s="212">
        <f>5</f>
        <v>5</v>
      </c>
      <c r="H190" s="212">
        <f>60</f>
        <v>60</v>
      </c>
      <c r="I190" s="212">
        <f t="shared" si="17"/>
        <v>0.9</v>
      </c>
      <c r="J190" s="212">
        <f>1</f>
        <v>1</v>
      </c>
      <c r="K190" s="212">
        <f t="shared" si="18"/>
        <v>4.1870000000000003</v>
      </c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  <c r="AA190" s="212"/>
      <c r="AB190" s="212"/>
      <c r="AC190" s="196"/>
      <c r="AD190" s="27"/>
      <c r="AE190" s="213"/>
      <c r="AF190" s="212">
        <f t="shared" si="19"/>
        <v>0.13674457551110875</v>
      </c>
      <c r="AG190" s="212"/>
      <c r="AH190" s="212"/>
      <c r="AI190" s="212"/>
      <c r="AJ190" s="212"/>
      <c r="AK190" s="212"/>
      <c r="AL190" s="212"/>
      <c r="AM190" s="212"/>
      <c r="AN190" s="212"/>
      <c r="AO190" s="212"/>
      <c r="AP190" s="196"/>
      <c r="AQ190" s="196"/>
      <c r="AR190" s="211"/>
      <c r="AS190" s="212"/>
      <c r="AT190" s="212"/>
      <c r="AU190" s="212"/>
      <c r="AW190" s="58"/>
      <c r="AX190" s="58"/>
      <c r="AY190" s="58"/>
      <c r="AZ190" s="58"/>
    </row>
    <row r="191" spans="1:52" s="185" customFormat="1" ht="15" customHeight="1" x14ac:dyDescent="0.25">
      <c r="A191" s="200"/>
      <c r="B191" s="211"/>
      <c r="C191" s="212">
        <f t="shared" si="14"/>
        <v>17.999999999999986</v>
      </c>
      <c r="D191" s="231">
        <f>15+[2]!STEPLOAD(5)</f>
        <v>20</v>
      </c>
      <c r="E191" s="212">
        <f t="shared" si="15"/>
        <v>44.440353374042601</v>
      </c>
      <c r="F191" s="212">
        <f t="shared" si="16"/>
        <v>0.5</v>
      </c>
      <c r="G191" s="212">
        <f>5</f>
        <v>5</v>
      </c>
      <c r="H191" s="212">
        <f>60</f>
        <v>60</v>
      </c>
      <c r="I191" s="212">
        <f t="shared" si="17"/>
        <v>0.9</v>
      </c>
      <c r="J191" s="212">
        <f>1</f>
        <v>1</v>
      </c>
      <c r="K191" s="212">
        <f t="shared" si="18"/>
        <v>4.1870000000000003</v>
      </c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  <c r="AA191" s="212"/>
      <c r="AB191" s="212"/>
      <c r="AC191" s="196"/>
      <c r="AD191" s="27"/>
      <c r="AE191" s="213"/>
      <c r="AF191" s="212">
        <f t="shared" si="19"/>
        <v>0.13537712975599758</v>
      </c>
      <c r="AG191" s="212"/>
      <c r="AH191" s="212"/>
      <c r="AI191" s="212"/>
      <c r="AJ191" s="212"/>
      <c r="AK191" s="212"/>
      <c r="AL191" s="212"/>
      <c r="AM191" s="212"/>
      <c r="AN191" s="212"/>
      <c r="AO191" s="212"/>
      <c r="AP191" s="196"/>
      <c r="AQ191" s="196"/>
      <c r="AR191" s="211"/>
      <c r="AS191" s="212"/>
      <c r="AT191" s="212"/>
      <c r="AU191" s="212"/>
      <c r="AW191" s="58"/>
      <c r="AX191" s="58"/>
      <c r="AY191" s="58"/>
      <c r="AZ191" s="58"/>
    </row>
    <row r="192" spans="1:52" s="185" customFormat="1" ht="15" customHeight="1" x14ac:dyDescent="0.25">
      <c r="A192" s="200"/>
      <c r="B192" s="211"/>
      <c r="C192" s="212">
        <f t="shared" si="14"/>
        <v>18.099999999999987</v>
      </c>
      <c r="D192" s="231">
        <f>15+[2]!STEPLOAD(5)</f>
        <v>20</v>
      </c>
      <c r="E192" s="212">
        <f t="shared" si="15"/>
        <v>44.453891087018199</v>
      </c>
      <c r="F192" s="212">
        <f t="shared" si="16"/>
        <v>0.5</v>
      </c>
      <c r="G192" s="212">
        <f>5</f>
        <v>5</v>
      </c>
      <c r="H192" s="212">
        <f>60</f>
        <v>60</v>
      </c>
      <c r="I192" s="212">
        <f t="shared" si="17"/>
        <v>0.9</v>
      </c>
      <c r="J192" s="212">
        <f>1</f>
        <v>1</v>
      </c>
      <c r="K192" s="212">
        <f t="shared" si="18"/>
        <v>4.1870000000000003</v>
      </c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196"/>
      <c r="AD192" s="27"/>
      <c r="AE192" s="213"/>
      <c r="AF192" s="212">
        <f t="shared" si="19"/>
        <v>0.13402335845843805</v>
      </c>
      <c r="AG192" s="212"/>
      <c r="AH192" s="212"/>
      <c r="AI192" s="212"/>
      <c r="AJ192" s="212"/>
      <c r="AK192" s="212"/>
      <c r="AL192" s="212"/>
      <c r="AM192" s="212"/>
      <c r="AN192" s="212"/>
      <c r="AO192" s="212"/>
      <c r="AP192" s="196"/>
      <c r="AQ192" s="196"/>
      <c r="AR192" s="211"/>
      <c r="AS192" s="212"/>
      <c r="AT192" s="212"/>
      <c r="AU192" s="212"/>
      <c r="AW192" s="58"/>
      <c r="AX192" s="58"/>
      <c r="AY192" s="58"/>
      <c r="AZ192" s="58"/>
    </row>
    <row r="193" spans="1:52" s="185" customFormat="1" ht="15" customHeight="1" x14ac:dyDescent="0.25">
      <c r="A193" s="200"/>
      <c r="B193" s="211"/>
      <c r="C193" s="212">
        <f t="shared" si="14"/>
        <v>18.199999999999989</v>
      </c>
      <c r="D193" s="231">
        <f>15+[2]!STEPLOAD(5)</f>
        <v>20</v>
      </c>
      <c r="E193" s="212">
        <f t="shared" si="15"/>
        <v>44.467293422864046</v>
      </c>
      <c r="F193" s="212">
        <f t="shared" si="16"/>
        <v>0.5</v>
      </c>
      <c r="G193" s="212">
        <f>5</f>
        <v>5</v>
      </c>
      <c r="H193" s="212">
        <f>60</f>
        <v>60</v>
      </c>
      <c r="I193" s="212">
        <f t="shared" si="17"/>
        <v>0.9</v>
      </c>
      <c r="J193" s="212">
        <f>1</f>
        <v>1</v>
      </c>
      <c r="K193" s="212">
        <f t="shared" si="18"/>
        <v>4.1870000000000003</v>
      </c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  <c r="AA193" s="212"/>
      <c r="AB193" s="212"/>
      <c r="AC193" s="196"/>
      <c r="AD193" s="27"/>
      <c r="AE193" s="213"/>
      <c r="AF193" s="212">
        <f t="shared" si="19"/>
        <v>0.13268312487385314</v>
      </c>
      <c r="AG193" s="212"/>
      <c r="AH193" s="212"/>
      <c r="AI193" s="212"/>
      <c r="AJ193" s="212"/>
      <c r="AK193" s="212"/>
      <c r="AL193" s="212"/>
      <c r="AM193" s="212"/>
      <c r="AN193" s="212"/>
      <c r="AO193" s="212"/>
      <c r="AP193" s="196"/>
      <c r="AQ193" s="196"/>
      <c r="AR193" s="211"/>
      <c r="AS193" s="212"/>
      <c r="AT193" s="212"/>
      <c r="AU193" s="212"/>
      <c r="AW193" s="58"/>
      <c r="AX193" s="58"/>
      <c r="AY193" s="58"/>
      <c r="AZ193" s="58"/>
    </row>
    <row r="194" spans="1:52" s="185" customFormat="1" ht="15" customHeight="1" x14ac:dyDescent="0.25">
      <c r="A194" s="200"/>
      <c r="B194" s="211"/>
      <c r="C194" s="212">
        <f t="shared" si="14"/>
        <v>18.29999999999999</v>
      </c>
      <c r="D194" s="231">
        <f>15+[2]!STEPLOAD(5)</f>
        <v>20</v>
      </c>
      <c r="E194" s="212">
        <f t="shared" si="15"/>
        <v>44.480561735351429</v>
      </c>
      <c r="F194" s="212">
        <f t="shared" si="16"/>
        <v>0.5</v>
      </c>
      <c r="G194" s="212">
        <f>5</f>
        <v>5</v>
      </c>
      <c r="H194" s="212">
        <f>60</f>
        <v>60</v>
      </c>
      <c r="I194" s="212">
        <f t="shared" si="17"/>
        <v>0.9</v>
      </c>
      <c r="J194" s="212">
        <f>1</f>
        <v>1</v>
      </c>
      <c r="K194" s="212">
        <f t="shared" si="18"/>
        <v>4.1870000000000003</v>
      </c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2"/>
      <c r="AB194" s="212"/>
      <c r="AC194" s="196"/>
      <c r="AD194" s="27"/>
      <c r="AE194" s="213"/>
      <c r="AF194" s="212">
        <f t="shared" si="19"/>
        <v>0.13135629362511514</v>
      </c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196"/>
      <c r="AQ194" s="196"/>
      <c r="AR194" s="211"/>
      <c r="AS194" s="212"/>
      <c r="AT194" s="212"/>
      <c r="AU194" s="212"/>
      <c r="AW194" s="58"/>
      <c r="AX194" s="58"/>
      <c r="AY194" s="58"/>
      <c r="AZ194" s="58"/>
    </row>
    <row r="195" spans="1:52" s="185" customFormat="1" ht="15" customHeight="1" x14ac:dyDescent="0.25">
      <c r="A195" s="200"/>
      <c r="B195" s="211"/>
      <c r="C195" s="212">
        <f t="shared" si="14"/>
        <v>18.399999999999991</v>
      </c>
      <c r="D195" s="231">
        <f>15+[2]!STEPLOAD(5)</f>
        <v>20</v>
      </c>
      <c r="E195" s="212">
        <f t="shared" si="15"/>
        <v>44.493697364713938</v>
      </c>
      <c r="F195" s="212">
        <f t="shared" si="16"/>
        <v>0.5</v>
      </c>
      <c r="G195" s="212">
        <f>5</f>
        <v>5</v>
      </c>
      <c r="H195" s="212">
        <f>60</f>
        <v>60</v>
      </c>
      <c r="I195" s="212">
        <f t="shared" si="17"/>
        <v>0.9</v>
      </c>
      <c r="J195" s="212">
        <f>1</f>
        <v>1</v>
      </c>
      <c r="K195" s="212">
        <f t="shared" si="18"/>
        <v>4.1870000000000003</v>
      </c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2"/>
      <c r="AB195" s="212"/>
      <c r="AC195" s="196"/>
      <c r="AD195" s="27"/>
      <c r="AE195" s="213"/>
      <c r="AF195" s="212">
        <f t="shared" si="19"/>
        <v>0.13004273068886407</v>
      </c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196"/>
      <c r="AQ195" s="196"/>
      <c r="AR195" s="211"/>
      <c r="AS195" s="212"/>
      <c r="AT195" s="212"/>
      <c r="AU195" s="212"/>
      <c r="AW195" s="58"/>
      <c r="AX195" s="58"/>
      <c r="AY195" s="58"/>
      <c r="AZ195" s="58"/>
    </row>
    <row r="196" spans="1:52" s="185" customFormat="1" ht="15" customHeight="1" x14ac:dyDescent="0.25">
      <c r="A196" s="200"/>
      <c r="B196" s="211"/>
      <c r="C196" s="212">
        <f t="shared" si="14"/>
        <v>18.499999999999993</v>
      </c>
      <c r="D196" s="231">
        <f>15+[2]!STEPLOAD(5)</f>
        <v>20</v>
      </c>
      <c r="E196" s="212">
        <f t="shared" si="15"/>
        <v>44.506701637782825</v>
      </c>
      <c r="F196" s="212">
        <f t="shared" si="16"/>
        <v>0.5</v>
      </c>
      <c r="G196" s="212">
        <f>5</f>
        <v>5</v>
      </c>
      <c r="H196" s="212">
        <f>60</f>
        <v>60</v>
      </c>
      <c r="I196" s="212">
        <f t="shared" si="17"/>
        <v>0.9</v>
      </c>
      <c r="J196" s="212">
        <f>1</f>
        <v>1</v>
      </c>
      <c r="K196" s="212">
        <f t="shared" si="18"/>
        <v>4.1870000000000003</v>
      </c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2"/>
      <c r="AB196" s="212"/>
      <c r="AC196" s="196"/>
      <c r="AD196" s="27"/>
      <c r="AE196" s="213"/>
      <c r="AF196" s="212">
        <f t="shared" si="19"/>
        <v>0.12874230338197545</v>
      </c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196"/>
      <c r="AQ196" s="196"/>
      <c r="AR196" s="211"/>
      <c r="AS196" s="212"/>
      <c r="AT196" s="212"/>
      <c r="AU196" s="212"/>
      <c r="AW196" s="58"/>
      <c r="AX196" s="58"/>
      <c r="AY196" s="58"/>
      <c r="AZ196" s="58"/>
    </row>
    <row r="197" spans="1:52" s="185" customFormat="1" ht="15" customHeight="1" x14ac:dyDescent="0.25">
      <c r="A197" s="200"/>
      <c r="B197" s="211"/>
      <c r="C197" s="212">
        <f t="shared" si="14"/>
        <v>18.599999999999994</v>
      </c>
      <c r="D197" s="231">
        <f>15+[2]!STEPLOAD(5)</f>
        <v>20</v>
      </c>
      <c r="E197" s="212">
        <f t="shared" si="15"/>
        <v>44.519575868121024</v>
      </c>
      <c r="F197" s="212">
        <f t="shared" si="16"/>
        <v>0.5</v>
      </c>
      <c r="G197" s="212">
        <f>5</f>
        <v>5</v>
      </c>
      <c r="H197" s="212">
        <f>60</f>
        <v>60</v>
      </c>
      <c r="I197" s="212">
        <f t="shared" si="17"/>
        <v>0.9</v>
      </c>
      <c r="J197" s="212">
        <f>1</f>
        <v>1</v>
      </c>
      <c r="K197" s="212">
        <f t="shared" si="18"/>
        <v>4.1870000000000003</v>
      </c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2"/>
      <c r="AB197" s="212"/>
      <c r="AC197" s="196"/>
      <c r="AD197" s="27"/>
      <c r="AE197" s="213"/>
      <c r="AF197" s="212">
        <f t="shared" si="19"/>
        <v>0.12745488034815544</v>
      </c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196"/>
      <c r="AQ197" s="196"/>
      <c r="AR197" s="211"/>
      <c r="AS197" s="212"/>
      <c r="AT197" s="212"/>
      <c r="AU197" s="212"/>
      <c r="AW197" s="58"/>
      <c r="AX197" s="58"/>
      <c r="AY197" s="58"/>
      <c r="AZ197" s="58"/>
    </row>
    <row r="198" spans="1:52" s="185" customFormat="1" ht="15" customHeight="1" x14ac:dyDescent="0.25">
      <c r="A198" s="200"/>
      <c r="B198" s="211"/>
      <c r="C198" s="212">
        <f t="shared" si="14"/>
        <v>18.699999999999996</v>
      </c>
      <c r="D198" s="231">
        <f>15+[2]!STEPLOAD(5)</f>
        <v>20</v>
      </c>
      <c r="E198" s="212">
        <f t="shared" si="15"/>
        <v>44.53232135615584</v>
      </c>
      <c r="F198" s="212">
        <f t="shared" si="16"/>
        <v>0.5</v>
      </c>
      <c r="G198" s="212">
        <f>5</f>
        <v>5</v>
      </c>
      <c r="H198" s="212">
        <f>60</f>
        <v>60</v>
      </c>
      <c r="I198" s="212">
        <f t="shared" si="17"/>
        <v>0.9</v>
      </c>
      <c r="J198" s="212">
        <f>1</f>
        <v>1</v>
      </c>
      <c r="K198" s="212">
        <f t="shared" si="18"/>
        <v>4.1870000000000003</v>
      </c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2"/>
      <c r="AB198" s="212"/>
      <c r="AC198" s="196"/>
      <c r="AD198" s="27"/>
      <c r="AE198" s="213"/>
      <c r="AF198" s="212">
        <f t="shared" si="19"/>
        <v>0.12618033154467367</v>
      </c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196"/>
      <c r="AQ198" s="196"/>
      <c r="AR198" s="211"/>
      <c r="AS198" s="212"/>
      <c r="AT198" s="212"/>
      <c r="AU198" s="212"/>
      <c r="AW198" s="58"/>
      <c r="AX198" s="58"/>
      <c r="AY198" s="58"/>
      <c r="AZ198" s="58"/>
    </row>
    <row r="199" spans="1:52" s="185" customFormat="1" ht="15" customHeight="1" x14ac:dyDescent="0.25">
      <c r="A199" s="200"/>
      <c r="B199" s="211"/>
      <c r="C199" s="212">
        <f t="shared" si="14"/>
        <v>18.799999999999997</v>
      </c>
      <c r="D199" s="231">
        <f>15+[2]!STEPLOAD(5)</f>
        <v>20</v>
      </c>
      <c r="E199" s="212">
        <f t="shared" si="15"/>
        <v>44.544939389310308</v>
      </c>
      <c r="F199" s="212">
        <f t="shared" si="16"/>
        <v>0.5</v>
      </c>
      <c r="G199" s="212">
        <f>5</f>
        <v>5</v>
      </c>
      <c r="H199" s="212">
        <f>60</f>
        <v>60</v>
      </c>
      <c r="I199" s="212">
        <f t="shared" si="17"/>
        <v>0.9</v>
      </c>
      <c r="J199" s="212">
        <f>1</f>
        <v>1</v>
      </c>
      <c r="K199" s="212">
        <f t="shared" si="18"/>
        <v>4.1870000000000003</v>
      </c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196"/>
      <c r="AD199" s="27"/>
      <c r="AE199" s="213"/>
      <c r="AF199" s="212">
        <f t="shared" si="19"/>
        <v>0.12491852822922711</v>
      </c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196"/>
      <c r="AQ199" s="196"/>
      <c r="AR199" s="211"/>
      <c r="AS199" s="212"/>
      <c r="AT199" s="212"/>
      <c r="AU199" s="212"/>
      <c r="AW199" s="58"/>
      <c r="AX199" s="58"/>
      <c r="AY199" s="58"/>
      <c r="AZ199" s="58"/>
    </row>
    <row r="200" spans="1:52" s="185" customFormat="1" ht="15" customHeight="1" x14ac:dyDescent="0.25">
      <c r="A200" s="200"/>
      <c r="B200" s="211"/>
      <c r="C200" s="212">
        <f t="shared" si="14"/>
        <v>18.899999999999999</v>
      </c>
      <c r="D200" s="231">
        <f>15+[2]!STEPLOAD(5)</f>
        <v>20</v>
      </c>
      <c r="E200" s="212">
        <f t="shared" si="15"/>
        <v>44.557431242133234</v>
      </c>
      <c r="F200" s="212">
        <f t="shared" si="16"/>
        <v>0.5</v>
      </c>
      <c r="G200" s="212">
        <f>5</f>
        <v>5</v>
      </c>
      <c r="H200" s="212">
        <f>60</f>
        <v>60</v>
      </c>
      <c r="I200" s="212">
        <f t="shared" si="17"/>
        <v>0.9</v>
      </c>
      <c r="J200" s="212">
        <f>1</f>
        <v>1</v>
      </c>
      <c r="K200" s="212">
        <f t="shared" si="18"/>
        <v>4.1870000000000003</v>
      </c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2"/>
      <c r="AB200" s="212"/>
      <c r="AC200" s="196"/>
      <c r="AD200" s="27"/>
      <c r="AE200" s="213"/>
      <c r="AF200" s="212">
        <f t="shared" si="19"/>
        <v>0.12366934294693444</v>
      </c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196"/>
      <c r="AQ200" s="196"/>
      <c r="AR200" s="211"/>
      <c r="AS200" s="212"/>
      <c r="AT200" s="212"/>
      <c r="AU200" s="212"/>
      <c r="AW200" s="58"/>
      <c r="AX200" s="58"/>
      <c r="AY200" s="58"/>
      <c r="AZ200" s="58"/>
    </row>
    <row r="201" spans="1:52" s="185" customFormat="1" ht="15" customHeight="1" x14ac:dyDescent="0.25">
      <c r="A201" s="200"/>
      <c r="B201" s="211"/>
      <c r="C201" s="212">
        <f t="shared" si="14"/>
        <v>19</v>
      </c>
      <c r="D201" s="231">
        <f>15+[2]!STEPLOAD(5)</f>
        <v>20</v>
      </c>
      <c r="E201" s="212">
        <f t="shared" si="15"/>
        <v>44.569798176427931</v>
      </c>
      <c r="F201" s="212">
        <f t="shared" si="16"/>
        <v>0.5</v>
      </c>
      <c r="G201" s="212">
        <f>5</f>
        <v>5</v>
      </c>
      <c r="H201" s="212">
        <f>60</f>
        <v>60</v>
      </c>
      <c r="I201" s="212">
        <f t="shared" si="17"/>
        <v>0.9</v>
      </c>
      <c r="J201" s="212">
        <f>1</f>
        <v>1</v>
      </c>
      <c r="K201" s="212">
        <f t="shared" si="18"/>
        <v>4.1870000000000003</v>
      </c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2"/>
      <c r="AB201" s="212"/>
      <c r="AC201" s="196"/>
      <c r="AD201" s="27"/>
      <c r="AE201" s="213"/>
      <c r="AF201" s="212">
        <f t="shared" si="19"/>
        <v>0.12243264951746502</v>
      </c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196"/>
      <c r="AQ201" s="196"/>
      <c r="AR201" s="211"/>
      <c r="AS201" s="212"/>
      <c r="AT201" s="212"/>
      <c r="AU201" s="212"/>
      <c r="AW201" s="58"/>
      <c r="AX201" s="58"/>
      <c r="AY201" s="58"/>
      <c r="AZ201" s="58"/>
    </row>
    <row r="202" spans="1:52" s="185" customFormat="1" ht="15" customHeight="1" x14ac:dyDescent="0.25">
      <c r="A202" s="200"/>
      <c r="B202" s="211"/>
      <c r="C202" s="212">
        <f t="shared" si="14"/>
        <v>19.100000000000001</v>
      </c>
      <c r="D202" s="231">
        <f>15+[2]!STEPLOAD(5)</f>
        <v>20</v>
      </c>
      <c r="E202" s="212">
        <f t="shared" si="15"/>
        <v>44.58204144137968</v>
      </c>
      <c r="F202" s="212">
        <f t="shared" si="16"/>
        <v>0.5</v>
      </c>
      <c r="G202" s="212">
        <f>5</f>
        <v>5</v>
      </c>
      <c r="H202" s="212">
        <f>60</f>
        <v>60</v>
      </c>
      <c r="I202" s="212">
        <f t="shared" si="17"/>
        <v>0.9</v>
      </c>
      <c r="J202" s="212">
        <f>1</f>
        <v>1</v>
      </c>
      <c r="K202" s="212">
        <f t="shared" si="18"/>
        <v>4.1870000000000003</v>
      </c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2"/>
      <c r="AB202" s="212"/>
      <c r="AC202" s="196"/>
      <c r="AD202" s="27"/>
      <c r="AE202" s="213"/>
      <c r="AF202" s="212">
        <f t="shared" si="19"/>
        <v>0.12120832302229001</v>
      </c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196"/>
      <c r="AQ202" s="196"/>
      <c r="AR202" s="211"/>
      <c r="AS202" s="212"/>
      <c r="AT202" s="212"/>
      <c r="AU202" s="212"/>
      <c r="AW202" s="58"/>
      <c r="AX202" s="58"/>
      <c r="AY202" s="58"/>
      <c r="AZ202" s="58"/>
    </row>
    <row r="203" spans="1:52" s="185" customFormat="1" ht="15" customHeight="1" x14ac:dyDescent="0.25">
      <c r="A203" s="200"/>
      <c r="B203" s="211"/>
      <c r="C203" s="212">
        <f t="shared" si="14"/>
        <v>19.200000000000003</v>
      </c>
      <c r="D203" s="231">
        <f>15+[2]!STEPLOAD(5)</f>
        <v>20</v>
      </c>
      <c r="E203" s="212">
        <f t="shared" si="15"/>
        <v>44.59416227368191</v>
      </c>
      <c r="F203" s="212">
        <f t="shared" si="16"/>
        <v>0.5</v>
      </c>
      <c r="G203" s="212">
        <f>5</f>
        <v>5</v>
      </c>
      <c r="H203" s="212">
        <f>60</f>
        <v>60</v>
      </c>
      <c r="I203" s="212">
        <f t="shared" si="17"/>
        <v>0.9</v>
      </c>
      <c r="J203" s="212">
        <f>1</f>
        <v>1</v>
      </c>
      <c r="K203" s="212">
        <f t="shared" si="18"/>
        <v>4.1870000000000003</v>
      </c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2"/>
      <c r="AB203" s="212"/>
      <c r="AC203" s="196"/>
      <c r="AD203" s="27"/>
      <c r="AE203" s="213"/>
      <c r="AF203" s="212">
        <f t="shared" si="19"/>
        <v>0.11999623979206708</v>
      </c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196"/>
      <c r="AQ203" s="196"/>
      <c r="AR203" s="211"/>
      <c r="AS203" s="212"/>
      <c r="AT203" s="212"/>
      <c r="AU203" s="212"/>
      <c r="AW203" s="58"/>
      <c r="AX203" s="58"/>
      <c r="AY203" s="58"/>
      <c r="AZ203" s="58"/>
    </row>
    <row r="204" spans="1:52" s="185" customFormat="1" ht="15" customHeight="1" x14ac:dyDescent="0.25">
      <c r="A204" s="200"/>
      <c r="B204" s="211"/>
      <c r="C204" s="212">
        <f t="shared" ref="C204:C267" si="20">C203+IntegrationStep</f>
        <v>19.300000000000004</v>
      </c>
      <c r="D204" s="231">
        <f>15+[2]!STEPLOAD(5)</f>
        <v>20</v>
      </c>
      <c r="E204" s="212">
        <f t="shared" si="15"/>
        <v>44.606161897661117</v>
      </c>
      <c r="F204" s="212">
        <f t="shared" si="16"/>
        <v>0.5</v>
      </c>
      <c r="G204" s="212">
        <f>5</f>
        <v>5</v>
      </c>
      <c r="H204" s="212">
        <f>60</f>
        <v>60</v>
      </c>
      <c r="I204" s="212">
        <f t="shared" si="17"/>
        <v>0.9</v>
      </c>
      <c r="J204" s="212">
        <f>1</f>
        <v>1</v>
      </c>
      <c r="K204" s="212">
        <f t="shared" si="18"/>
        <v>4.1870000000000003</v>
      </c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2"/>
      <c r="AB204" s="212"/>
      <c r="AC204" s="196"/>
      <c r="AD204" s="27"/>
      <c r="AE204" s="213"/>
      <c r="AF204" s="212">
        <f t="shared" si="19"/>
        <v>0.118796277394146</v>
      </c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196"/>
      <c r="AQ204" s="196"/>
      <c r="AR204" s="211"/>
      <c r="AS204" s="212"/>
      <c r="AT204" s="212"/>
      <c r="AU204" s="212"/>
      <c r="AW204" s="58"/>
      <c r="AX204" s="58"/>
      <c r="AY204" s="58"/>
      <c r="AZ204" s="58"/>
    </row>
    <row r="205" spans="1:52" s="185" customFormat="1" ht="15" customHeight="1" x14ac:dyDescent="0.25">
      <c r="A205" s="200"/>
      <c r="B205" s="211"/>
      <c r="C205" s="212">
        <f t="shared" si="20"/>
        <v>19.400000000000006</v>
      </c>
      <c r="D205" s="231">
        <f>15+[2]!STEPLOAD(5)</f>
        <v>20</v>
      </c>
      <c r="E205" s="212">
        <f t="shared" ref="E205:E268" si="21">E204+(C205-C204)*AF204</f>
        <v>44.618041525400535</v>
      </c>
      <c r="F205" s="212">
        <f t="shared" ref="F205:F268" si="22">0.5</f>
        <v>0.5</v>
      </c>
      <c r="G205" s="212">
        <f>5</f>
        <v>5</v>
      </c>
      <c r="H205" s="212">
        <f>60</f>
        <v>60</v>
      </c>
      <c r="I205" s="212">
        <f t="shared" ref="I205:I268" si="23">0.9</f>
        <v>0.9</v>
      </c>
      <c r="J205" s="212">
        <f>1</f>
        <v>1</v>
      </c>
      <c r="K205" s="212">
        <f t="shared" ref="K205:K268" si="24">4.187</f>
        <v>4.1870000000000003</v>
      </c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2"/>
      <c r="AB205" s="212"/>
      <c r="AC205" s="196"/>
      <c r="AD205" s="27"/>
      <c r="AE205" s="213"/>
      <c r="AF205" s="212">
        <f t="shared" ref="AF205:AF268" si="25">F205/G205*(D205-E205)+H205*I205/G205/J205/K205</f>
        <v>0.11760831462020427</v>
      </c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196"/>
      <c r="AQ205" s="196"/>
      <c r="AR205" s="211"/>
      <c r="AS205" s="212"/>
      <c r="AT205" s="212"/>
      <c r="AU205" s="212"/>
      <c r="AW205" s="58"/>
      <c r="AX205" s="58"/>
      <c r="AY205" s="58"/>
      <c r="AZ205" s="58"/>
    </row>
    <row r="206" spans="1:52" s="185" customFormat="1" ht="15" customHeight="1" x14ac:dyDescent="0.25">
      <c r="A206" s="200"/>
      <c r="B206" s="211"/>
      <c r="C206" s="212">
        <f t="shared" si="20"/>
        <v>19.500000000000007</v>
      </c>
      <c r="D206" s="231">
        <f>15+[2]!STEPLOAD(5)</f>
        <v>20</v>
      </c>
      <c r="E206" s="212">
        <f t="shared" si="21"/>
        <v>44.629802356862555</v>
      </c>
      <c r="F206" s="212">
        <f t="shared" si="22"/>
        <v>0.5</v>
      </c>
      <c r="G206" s="212">
        <f>5</f>
        <v>5</v>
      </c>
      <c r="H206" s="212">
        <f>60</f>
        <v>60</v>
      </c>
      <c r="I206" s="212">
        <f t="shared" si="23"/>
        <v>0.9</v>
      </c>
      <c r="J206" s="212">
        <f>1</f>
        <v>1</v>
      </c>
      <c r="K206" s="212">
        <f t="shared" si="24"/>
        <v>4.1870000000000003</v>
      </c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2"/>
      <c r="AB206" s="212"/>
      <c r="AC206" s="196"/>
      <c r="AD206" s="27"/>
      <c r="AE206" s="213"/>
      <c r="AF206" s="212">
        <f t="shared" si="25"/>
        <v>0.11643223147400228</v>
      </c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196"/>
      <c r="AQ206" s="196"/>
      <c r="AR206" s="211"/>
      <c r="AS206" s="212"/>
      <c r="AT206" s="212"/>
      <c r="AU206" s="212"/>
      <c r="AW206" s="58"/>
      <c r="AX206" s="58"/>
      <c r="AY206" s="58"/>
      <c r="AZ206" s="58"/>
    </row>
    <row r="207" spans="1:52" s="185" customFormat="1" ht="15" customHeight="1" x14ac:dyDescent="0.25">
      <c r="A207" s="200"/>
      <c r="B207" s="211"/>
      <c r="C207" s="212">
        <f t="shared" si="20"/>
        <v>19.600000000000009</v>
      </c>
      <c r="D207" s="231">
        <f>15+[2]!STEPLOAD(5)</f>
        <v>20</v>
      </c>
      <c r="E207" s="212">
        <f t="shared" si="21"/>
        <v>44.641445580009957</v>
      </c>
      <c r="F207" s="212">
        <f t="shared" si="22"/>
        <v>0.5</v>
      </c>
      <c r="G207" s="212">
        <f>5</f>
        <v>5</v>
      </c>
      <c r="H207" s="212">
        <f>60</f>
        <v>60</v>
      </c>
      <c r="I207" s="212">
        <f t="shared" si="23"/>
        <v>0.9</v>
      </c>
      <c r="J207" s="212">
        <f>1</f>
        <v>1</v>
      </c>
      <c r="K207" s="212">
        <f t="shared" si="24"/>
        <v>4.1870000000000003</v>
      </c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2"/>
      <c r="AB207" s="212"/>
      <c r="AC207" s="196"/>
      <c r="AD207" s="27"/>
      <c r="AE207" s="213"/>
      <c r="AF207" s="212">
        <f t="shared" si="25"/>
        <v>0.11526790915926233</v>
      </c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196"/>
      <c r="AQ207" s="196"/>
      <c r="AR207" s="211"/>
      <c r="AS207" s="212"/>
      <c r="AT207" s="212"/>
      <c r="AU207" s="212"/>
      <c r="AW207" s="58"/>
      <c r="AX207" s="58"/>
      <c r="AY207" s="58"/>
      <c r="AZ207" s="58"/>
    </row>
    <row r="208" spans="1:52" s="185" customFormat="1" ht="15" customHeight="1" x14ac:dyDescent="0.25">
      <c r="A208" s="200"/>
      <c r="B208" s="211"/>
      <c r="C208" s="212">
        <f t="shared" si="20"/>
        <v>19.70000000000001</v>
      </c>
      <c r="D208" s="231">
        <f>15+[2]!STEPLOAD(5)</f>
        <v>20</v>
      </c>
      <c r="E208" s="212">
        <f t="shared" si="21"/>
        <v>44.65297237092588</v>
      </c>
      <c r="F208" s="212">
        <f t="shared" si="22"/>
        <v>0.5</v>
      </c>
      <c r="G208" s="212">
        <f>5</f>
        <v>5</v>
      </c>
      <c r="H208" s="212">
        <f>60</f>
        <v>60</v>
      </c>
      <c r="I208" s="212">
        <f t="shared" si="23"/>
        <v>0.9</v>
      </c>
      <c r="J208" s="212">
        <f>1</f>
        <v>1</v>
      </c>
      <c r="K208" s="212">
        <f t="shared" si="24"/>
        <v>4.1870000000000003</v>
      </c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2"/>
      <c r="AB208" s="212"/>
      <c r="AC208" s="196"/>
      <c r="AD208" s="27"/>
      <c r="AE208" s="213"/>
      <c r="AF208" s="212">
        <f t="shared" si="25"/>
        <v>0.11411523006766977</v>
      </c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196"/>
      <c r="AQ208" s="196"/>
      <c r="AR208" s="211"/>
      <c r="AS208" s="212"/>
      <c r="AT208" s="212"/>
      <c r="AU208" s="212"/>
      <c r="AW208" s="58"/>
      <c r="AX208" s="58"/>
      <c r="AY208" s="58"/>
      <c r="AZ208" s="58"/>
    </row>
    <row r="209" spans="1:52" s="185" customFormat="1" ht="15" customHeight="1" x14ac:dyDescent="0.25">
      <c r="A209" s="200"/>
      <c r="B209" s="211"/>
      <c r="C209" s="212">
        <f t="shared" si="20"/>
        <v>19.800000000000011</v>
      </c>
      <c r="D209" s="231">
        <f>15+[2]!STEPLOAD(5)</f>
        <v>20</v>
      </c>
      <c r="E209" s="212">
        <f t="shared" si="21"/>
        <v>44.664383893932644</v>
      </c>
      <c r="F209" s="212">
        <f t="shared" si="22"/>
        <v>0.5</v>
      </c>
      <c r="G209" s="212">
        <f>5</f>
        <v>5</v>
      </c>
      <c r="H209" s="212">
        <f>60</f>
        <v>60</v>
      </c>
      <c r="I209" s="212">
        <f t="shared" si="23"/>
        <v>0.9</v>
      </c>
      <c r="J209" s="212">
        <f>1</f>
        <v>1</v>
      </c>
      <c r="K209" s="212">
        <f t="shared" si="24"/>
        <v>4.1870000000000003</v>
      </c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2"/>
      <c r="AC209" s="196"/>
      <c r="AD209" s="27"/>
      <c r="AE209" s="213"/>
      <c r="AF209" s="212">
        <f t="shared" si="25"/>
        <v>0.11297407776699364</v>
      </c>
      <c r="AG209" s="212"/>
      <c r="AH209" s="212"/>
      <c r="AI209" s="212"/>
      <c r="AJ209" s="212"/>
      <c r="AK209" s="212"/>
      <c r="AL209" s="212"/>
      <c r="AM209" s="212"/>
      <c r="AN209" s="212"/>
      <c r="AO209" s="212"/>
      <c r="AP209" s="196"/>
      <c r="AQ209" s="196"/>
      <c r="AR209" s="211"/>
      <c r="AS209" s="212"/>
      <c r="AT209" s="212"/>
      <c r="AU209" s="212"/>
      <c r="AW209" s="58"/>
      <c r="AX209" s="58"/>
      <c r="AY209" s="58"/>
      <c r="AZ209" s="58"/>
    </row>
    <row r="210" spans="1:52" s="185" customFormat="1" ht="15" customHeight="1" x14ac:dyDescent="0.25">
      <c r="A210" s="200"/>
      <c r="B210" s="211"/>
      <c r="C210" s="212">
        <f t="shared" si="20"/>
        <v>19.900000000000013</v>
      </c>
      <c r="D210" s="231">
        <f>15+[2]!STEPLOAD(5)</f>
        <v>20</v>
      </c>
      <c r="E210" s="212">
        <f t="shared" si="21"/>
        <v>44.675681301709346</v>
      </c>
      <c r="F210" s="212">
        <f t="shared" si="22"/>
        <v>0.5</v>
      </c>
      <c r="G210" s="212">
        <f>5</f>
        <v>5</v>
      </c>
      <c r="H210" s="212">
        <f>60</f>
        <v>60</v>
      </c>
      <c r="I210" s="212">
        <f t="shared" si="23"/>
        <v>0.9</v>
      </c>
      <c r="J210" s="212">
        <f>1</f>
        <v>1</v>
      </c>
      <c r="K210" s="212">
        <f t="shared" si="24"/>
        <v>4.1870000000000003</v>
      </c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196"/>
      <c r="AD210" s="27"/>
      <c r="AE210" s="213"/>
      <c r="AF210" s="212">
        <f t="shared" si="25"/>
        <v>0.11184433698932317</v>
      </c>
      <c r="AG210" s="212"/>
      <c r="AH210" s="212"/>
      <c r="AI210" s="212"/>
      <c r="AJ210" s="212"/>
      <c r="AK210" s="212"/>
      <c r="AL210" s="212"/>
      <c r="AM210" s="212"/>
      <c r="AN210" s="212"/>
      <c r="AO210" s="212"/>
      <c r="AP210" s="196"/>
      <c r="AQ210" s="196"/>
      <c r="AR210" s="211"/>
      <c r="AS210" s="212"/>
      <c r="AT210" s="212"/>
      <c r="AU210" s="212"/>
      <c r="AW210" s="58"/>
      <c r="AX210" s="58"/>
      <c r="AY210" s="58"/>
      <c r="AZ210" s="58"/>
    </row>
    <row r="211" spans="1:52" s="185" customFormat="1" ht="15" customHeight="1" x14ac:dyDescent="0.25">
      <c r="A211" s="200"/>
      <c r="B211" s="211"/>
      <c r="C211" s="212">
        <f t="shared" si="20"/>
        <v>20.000000000000014</v>
      </c>
      <c r="D211" s="231">
        <f>15+[2]!STEPLOAD(5)</f>
        <v>20</v>
      </c>
      <c r="E211" s="212">
        <f t="shared" si="21"/>
        <v>44.686865735408276</v>
      </c>
      <c r="F211" s="212">
        <f t="shared" si="22"/>
        <v>0.5</v>
      </c>
      <c r="G211" s="212">
        <f>5</f>
        <v>5</v>
      </c>
      <c r="H211" s="212">
        <f>60</f>
        <v>60</v>
      </c>
      <c r="I211" s="212">
        <f t="shared" si="23"/>
        <v>0.9</v>
      </c>
      <c r="J211" s="212">
        <f>1</f>
        <v>1</v>
      </c>
      <c r="K211" s="212">
        <f t="shared" si="24"/>
        <v>4.1870000000000003</v>
      </c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2"/>
      <c r="AC211" s="196"/>
      <c r="AD211" s="27"/>
      <c r="AE211" s="213"/>
      <c r="AF211" s="212">
        <f t="shared" si="25"/>
        <v>0.11072589361943042</v>
      </c>
      <c r="AG211" s="212"/>
      <c r="AH211" s="212"/>
      <c r="AI211" s="212"/>
      <c r="AJ211" s="212"/>
      <c r="AK211" s="212"/>
      <c r="AL211" s="212"/>
      <c r="AM211" s="212"/>
      <c r="AN211" s="212"/>
      <c r="AO211" s="212"/>
      <c r="AP211" s="196"/>
      <c r="AQ211" s="196"/>
      <c r="AR211" s="211"/>
      <c r="AS211" s="212"/>
      <c r="AT211" s="212"/>
      <c r="AU211" s="212"/>
      <c r="AW211" s="58"/>
      <c r="AX211" s="58"/>
      <c r="AY211" s="58"/>
      <c r="AZ211" s="58"/>
    </row>
    <row r="212" spans="1:52" s="185" customFormat="1" ht="15" customHeight="1" x14ac:dyDescent="0.25">
      <c r="A212" s="200"/>
      <c r="B212" s="211"/>
      <c r="C212" s="212">
        <f t="shared" si="20"/>
        <v>20.100000000000016</v>
      </c>
      <c r="D212" s="231">
        <f>15+[2]!STEPLOAD(5)</f>
        <v>20</v>
      </c>
      <c r="E212" s="212">
        <f t="shared" si="21"/>
        <v>44.69793832477022</v>
      </c>
      <c r="F212" s="212">
        <f t="shared" si="22"/>
        <v>0.5</v>
      </c>
      <c r="G212" s="212">
        <f>5</f>
        <v>5</v>
      </c>
      <c r="H212" s="212">
        <f>60</f>
        <v>60</v>
      </c>
      <c r="I212" s="212">
        <f t="shared" si="23"/>
        <v>0.9</v>
      </c>
      <c r="J212" s="212">
        <f>1</f>
        <v>1</v>
      </c>
      <c r="K212" s="212">
        <f t="shared" si="24"/>
        <v>4.1870000000000003</v>
      </c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196"/>
      <c r="AD212" s="27"/>
      <c r="AE212" s="213"/>
      <c r="AF212" s="212">
        <f t="shared" si="25"/>
        <v>0.10961863468323596</v>
      </c>
      <c r="AG212" s="212"/>
      <c r="AH212" s="212"/>
      <c r="AI212" s="212"/>
      <c r="AJ212" s="212"/>
      <c r="AK212" s="212"/>
      <c r="AL212" s="212"/>
      <c r="AM212" s="212"/>
      <c r="AN212" s="212"/>
      <c r="AO212" s="212"/>
      <c r="AP212" s="196"/>
      <c r="AQ212" s="196"/>
      <c r="AR212" s="211"/>
      <c r="AS212" s="212"/>
      <c r="AT212" s="212"/>
      <c r="AU212" s="212"/>
      <c r="AW212" s="58"/>
      <c r="AX212" s="58"/>
      <c r="AY212" s="58"/>
      <c r="AZ212" s="58"/>
    </row>
    <row r="213" spans="1:52" s="185" customFormat="1" ht="15" customHeight="1" x14ac:dyDescent="0.25">
      <c r="A213" s="200"/>
      <c r="B213" s="211"/>
      <c r="C213" s="212">
        <f t="shared" si="20"/>
        <v>20.200000000000017</v>
      </c>
      <c r="D213" s="231">
        <f>15+[2]!STEPLOAD(5)</f>
        <v>20</v>
      </c>
      <c r="E213" s="212">
        <f t="shared" si="21"/>
        <v>44.708900188238545</v>
      </c>
      <c r="F213" s="212">
        <f t="shared" si="22"/>
        <v>0.5</v>
      </c>
      <c r="G213" s="212">
        <f>5</f>
        <v>5</v>
      </c>
      <c r="H213" s="212">
        <f>60</f>
        <v>60</v>
      </c>
      <c r="I213" s="212">
        <f t="shared" si="23"/>
        <v>0.9</v>
      </c>
      <c r="J213" s="212">
        <f>1</f>
        <v>1</v>
      </c>
      <c r="K213" s="212">
        <f t="shared" si="24"/>
        <v>4.1870000000000003</v>
      </c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196"/>
      <c r="AD213" s="27"/>
      <c r="AE213" s="213"/>
      <c r="AF213" s="212">
        <f t="shared" si="25"/>
        <v>0.10852244833640334</v>
      </c>
      <c r="AG213" s="212"/>
      <c r="AH213" s="212"/>
      <c r="AI213" s="212"/>
      <c r="AJ213" s="212"/>
      <c r="AK213" s="212"/>
      <c r="AL213" s="212"/>
      <c r="AM213" s="212"/>
      <c r="AN213" s="212"/>
      <c r="AO213" s="212"/>
      <c r="AP213" s="196"/>
      <c r="AQ213" s="196"/>
      <c r="AR213" s="211"/>
      <c r="AS213" s="212"/>
      <c r="AT213" s="212"/>
      <c r="AU213" s="212"/>
      <c r="AW213" s="58"/>
      <c r="AX213" s="58"/>
      <c r="AY213" s="58"/>
      <c r="AZ213" s="58"/>
    </row>
    <row r="214" spans="1:52" s="185" customFormat="1" ht="15" customHeight="1" x14ac:dyDescent="0.25">
      <c r="A214" s="200"/>
      <c r="B214" s="211"/>
      <c r="C214" s="212">
        <f t="shared" si="20"/>
        <v>20.300000000000018</v>
      </c>
      <c r="D214" s="231">
        <f>15+[2]!STEPLOAD(5)</f>
        <v>20</v>
      </c>
      <c r="E214" s="212">
        <f t="shared" si="21"/>
        <v>44.719752433072188</v>
      </c>
      <c r="F214" s="212">
        <f t="shared" si="22"/>
        <v>0.5</v>
      </c>
      <c r="G214" s="212">
        <f>5</f>
        <v>5</v>
      </c>
      <c r="H214" s="212">
        <f>60</f>
        <v>60</v>
      </c>
      <c r="I214" s="212">
        <f t="shared" si="23"/>
        <v>0.9</v>
      </c>
      <c r="J214" s="212">
        <f>1</f>
        <v>1</v>
      </c>
      <c r="K214" s="212">
        <f t="shared" si="24"/>
        <v>4.1870000000000003</v>
      </c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196"/>
      <c r="AD214" s="27"/>
      <c r="AE214" s="213"/>
      <c r="AF214" s="212">
        <f t="shared" si="25"/>
        <v>0.10743722385303922</v>
      </c>
      <c r="AG214" s="212"/>
      <c r="AH214" s="212"/>
      <c r="AI214" s="212"/>
      <c r="AJ214" s="212"/>
      <c r="AK214" s="212"/>
      <c r="AL214" s="212"/>
      <c r="AM214" s="212"/>
      <c r="AN214" s="212"/>
      <c r="AO214" s="212"/>
      <c r="AP214" s="196"/>
      <c r="AQ214" s="196"/>
      <c r="AR214" s="211"/>
      <c r="AS214" s="212"/>
      <c r="AT214" s="212"/>
      <c r="AU214" s="212"/>
      <c r="AW214" s="58"/>
      <c r="AX214" s="58"/>
      <c r="AY214" s="58"/>
      <c r="AZ214" s="58"/>
    </row>
    <row r="215" spans="1:52" s="185" customFormat="1" ht="15" customHeight="1" x14ac:dyDescent="0.25">
      <c r="A215" s="200"/>
      <c r="B215" s="211"/>
      <c r="C215" s="212">
        <f t="shared" si="20"/>
        <v>20.40000000000002</v>
      </c>
      <c r="D215" s="231">
        <f>15+[2]!STEPLOAD(5)</f>
        <v>20</v>
      </c>
      <c r="E215" s="212">
        <f t="shared" si="21"/>
        <v>44.730496155457494</v>
      </c>
      <c r="F215" s="212">
        <f t="shared" si="22"/>
        <v>0.5</v>
      </c>
      <c r="G215" s="212">
        <f>5</f>
        <v>5</v>
      </c>
      <c r="H215" s="212">
        <f>60</f>
        <v>60</v>
      </c>
      <c r="I215" s="212">
        <f t="shared" si="23"/>
        <v>0.9</v>
      </c>
      <c r="J215" s="212">
        <f>1</f>
        <v>1</v>
      </c>
      <c r="K215" s="212">
        <f t="shared" si="24"/>
        <v>4.1870000000000003</v>
      </c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2"/>
      <c r="AC215" s="196"/>
      <c r="AD215" s="27"/>
      <c r="AE215" s="213"/>
      <c r="AF215" s="212">
        <f t="shared" si="25"/>
        <v>0.10636285161450854</v>
      </c>
      <c r="AG215" s="212"/>
      <c r="AH215" s="212"/>
      <c r="AI215" s="212"/>
      <c r="AJ215" s="212"/>
      <c r="AK215" s="212"/>
      <c r="AL215" s="212"/>
      <c r="AM215" s="212"/>
      <c r="AN215" s="212"/>
      <c r="AO215" s="212"/>
      <c r="AP215" s="196"/>
      <c r="AQ215" s="196"/>
      <c r="AR215" s="211"/>
      <c r="AS215" s="212"/>
      <c r="AT215" s="212"/>
      <c r="AU215" s="212"/>
      <c r="AW215" s="58"/>
      <c r="AX215" s="58"/>
      <c r="AY215" s="58"/>
      <c r="AZ215" s="58"/>
    </row>
    <row r="216" spans="1:52" s="185" customFormat="1" ht="15" customHeight="1" x14ac:dyDescent="0.25">
      <c r="A216" s="200"/>
      <c r="B216" s="211"/>
      <c r="C216" s="212">
        <f t="shared" si="20"/>
        <v>20.500000000000021</v>
      </c>
      <c r="D216" s="231">
        <f>15+[2]!STEPLOAD(5)</f>
        <v>20</v>
      </c>
      <c r="E216" s="212">
        <f t="shared" si="21"/>
        <v>44.741132440618948</v>
      </c>
      <c r="F216" s="212">
        <f t="shared" si="22"/>
        <v>0.5</v>
      </c>
      <c r="G216" s="212">
        <f>5</f>
        <v>5</v>
      </c>
      <c r="H216" s="212">
        <f>60</f>
        <v>60</v>
      </c>
      <c r="I216" s="212">
        <f t="shared" si="23"/>
        <v>0.9</v>
      </c>
      <c r="J216" s="212">
        <f>1</f>
        <v>1</v>
      </c>
      <c r="K216" s="212">
        <f t="shared" si="24"/>
        <v>4.1870000000000003</v>
      </c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196"/>
      <c r="AD216" s="27"/>
      <c r="AE216" s="213"/>
      <c r="AF216" s="212">
        <f t="shared" si="25"/>
        <v>0.10529922309836293</v>
      </c>
      <c r="AG216" s="212"/>
      <c r="AH216" s="212"/>
      <c r="AI216" s="212"/>
      <c r="AJ216" s="212"/>
      <c r="AK216" s="212"/>
      <c r="AL216" s="212"/>
      <c r="AM216" s="212"/>
      <c r="AN216" s="212"/>
      <c r="AO216" s="212"/>
      <c r="AP216" s="196"/>
      <c r="AQ216" s="196"/>
      <c r="AR216" s="211"/>
      <c r="AS216" s="212"/>
      <c r="AT216" s="212"/>
      <c r="AU216" s="212"/>
      <c r="AW216" s="58"/>
      <c r="AX216" s="58"/>
      <c r="AY216" s="58"/>
      <c r="AZ216" s="58"/>
    </row>
    <row r="217" spans="1:52" s="185" customFormat="1" ht="15" customHeight="1" x14ac:dyDescent="0.25">
      <c r="A217" s="200"/>
      <c r="B217" s="211"/>
      <c r="C217" s="212">
        <f t="shared" si="20"/>
        <v>20.600000000000023</v>
      </c>
      <c r="D217" s="231">
        <f>15+[2]!STEPLOAD(5)</f>
        <v>20</v>
      </c>
      <c r="E217" s="212">
        <f t="shared" si="21"/>
        <v>44.751662362928784</v>
      </c>
      <c r="F217" s="212">
        <f t="shared" si="22"/>
        <v>0.5</v>
      </c>
      <c r="G217" s="212">
        <f>5</f>
        <v>5</v>
      </c>
      <c r="H217" s="212">
        <f>60</f>
        <v>60</v>
      </c>
      <c r="I217" s="212">
        <f t="shared" si="23"/>
        <v>0.9</v>
      </c>
      <c r="J217" s="212">
        <f>1</f>
        <v>1</v>
      </c>
      <c r="K217" s="212">
        <f t="shared" si="24"/>
        <v>4.1870000000000003</v>
      </c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2"/>
      <c r="AC217" s="196"/>
      <c r="AD217" s="27"/>
      <c r="AE217" s="213"/>
      <c r="AF217" s="212">
        <f t="shared" si="25"/>
        <v>0.10424623086737972</v>
      </c>
      <c r="AG217" s="212"/>
      <c r="AH217" s="212"/>
      <c r="AI217" s="212"/>
      <c r="AJ217" s="212"/>
      <c r="AK217" s="212"/>
      <c r="AL217" s="212"/>
      <c r="AM217" s="212"/>
      <c r="AN217" s="212"/>
      <c r="AO217" s="212"/>
      <c r="AP217" s="196"/>
      <c r="AQ217" s="196"/>
      <c r="AR217" s="211"/>
      <c r="AS217" s="212"/>
      <c r="AT217" s="212"/>
      <c r="AU217" s="212"/>
      <c r="AW217" s="58"/>
      <c r="AX217" s="58"/>
      <c r="AY217" s="58"/>
      <c r="AZ217" s="58"/>
    </row>
    <row r="218" spans="1:52" s="185" customFormat="1" ht="15" customHeight="1" x14ac:dyDescent="0.25">
      <c r="A218" s="200"/>
      <c r="B218" s="211"/>
      <c r="C218" s="212">
        <f t="shared" si="20"/>
        <v>20.700000000000024</v>
      </c>
      <c r="D218" s="231">
        <f>15+[2]!STEPLOAD(5)</f>
        <v>20</v>
      </c>
      <c r="E218" s="212">
        <f t="shared" si="21"/>
        <v>44.762086986015518</v>
      </c>
      <c r="F218" s="212">
        <f t="shared" si="22"/>
        <v>0.5</v>
      </c>
      <c r="G218" s="212">
        <f>5</f>
        <v>5</v>
      </c>
      <c r="H218" s="212">
        <f>60</f>
        <v>60</v>
      </c>
      <c r="I218" s="212">
        <f t="shared" si="23"/>
        <v>0.9</v>
      </c>
      <c r="J218" s="212">
        <f>1</f>
        <v>1</v>
      </c>
      <c r="K218" s="212">
        <f t="shared" si="24"/>
        <v>4.1870000000000003</v>
      </c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2"/>
      <c r="AC218" s="196"/>
      <c r="AD218" s="27"/>
      <c r="AE218" s="213"/>
      <c r="AF218" s="212">
        <f t="shared" si="25"/>
        <v>0.10320376855870617</v>
      </c>
      <c r="AG218" s="212"/>
      <c r="AH218" s="212"/>
      <c r="AI218" s="212"/>
      <c r="AJ218" s="212"/>
      <c r="AK218" s="212"/>
      <c r="AL218" s="212"/>
      <c r="AM218" s="212"/>
      <c r="AN218" s="212"/>
      <c r="AO218" s="212"/>
      <c r="AP218" s="196"/>
      <c r="AQ218" s="196"/>
      <c r="AR218" s="211"/>
      <c r="AS218" s="212"/>
      <c r="AT218" s="212"/>
      <c r="AU218" s="212"/>
      <c r="AW218" s="58"/>
      <c r="AX218" s="58"/>
      <c r="AY218" s="58"/>
      <c r="AZ218" s="58"/>
    </row>
    <row r="219" spans="1:52" s="185" customFormat="1" ht="15" customHeight="1" x14ac:dyDescent="0.25">
      <c r="A219" s="200"/>
      <c r="B219" s="211"/>
      <c r="C219" s="212">
        <f t="shared" si="20"/>
        <v>20.800000000000026</v>
      </c>
      <c r="D219" s="231">
        <f>15+[2]!STEPLOAD(5)</f>
        <v>20</v>
      </c>
      <c r="E219" s="212">
        <f t="shared" si="21"/>
        <v>44.772407362871391</v>
      </c>
      <c r="F219" s="212">
        <f t="shared" si="22"/>
        <v>0.5</v>
      </c>
      <c r="G219" s="212">
        <f>5</f>
        <v>5</v>
      </c>
      <c r="H219" s="212">
        <f>60</f>
        <v>60</v>
      </c>
      <c r="I219" s="212">
        <f t="shared" si="23"/>
        <v>0.9</v>
      </c>
      <c r="J219" s="212">
        <f>1</f>
        <v>1</v>
      </c>
      <c r="K219" s="212">
        <f t="shared" si="24"/>
        <v>4.1870000000000003</v>
      </c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2"/>
      <c r="AC219" s="196"/>
      <c r="AD219" s="27"/>
      <c r="AE219" s="213"/>
      <c r="AF219" s="212">
        <f t="shared" si="25"/>
        <v>0.1021717308731187</v>
      </c>
      <c r="AG219" s="212"/>
      <c r="AH219" s="212"/>
      <c r="AI219" s="212"/>
      <c r="AJ219" s="212"/>
      <c r="AK219" s="212"/>
      <c r="AL219" s="212"/>
      <c r="AM219" s="212"/>
      <c r="AN219" s="212"/>
      <c r="AO219" s="212"/>
      <c r="AP219" s="196"/>
      <c r="AQ219" s="196"/>
      <c r="AR219" s="211"/>
      <c r="AS219" s="212"/>
      <c r="AT219" s="212"/>
      <c r="AU219" s="212"/>
      <c r="AW219" s="58"/>
      <c r="AX219" s="58"/>
      <c r="AY219" s="58"/>
      <c r="AZ219" s="58"/>
    </row>
    <row r="220" spans="1:52" s="185" customFormat="1" ht="15" customHeight="1" x14ac:dyDescent="0.25">
      <c r="A220" s="200"/>
      <c r="B220" s="211"/>
      <c r="C220" s="212">
        <f t="shared" si="20"/>
        <v>20.900000000000027</v>
      </c>
      <c r="D220" s="231">
        <f>15+[2]!STEPLOAD(5)</f>
        <v>20</v>
      </c>
      <c r="E220" s="212">
        <f t="shared" si="21"/>
        <v>44.782624535958703</v>
      </c>
      <c r="F220" s="212">
        <f t="shared" si="22"/>
        <v>0.5</v>
      </c>
      <c r="G220" s="212">
        <f>5</f>
        <v>5</v>
      </c>
      <c r="H220" s="212">
        <f>60</f>
        <v>60</v>
      </c>
      <c r="I220" s="212">
        <f t="shared" si="23"/>
        <v>0.9</v>
      </c>
      <c r="J220" s="212">
        <f>1</f>
        <v>1</v>
      </c>
      <c r="K220" s="212">
        <f t="shared" si="24"/>
        <v>4.1870000000000003</v>
      </c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  <c r="AA220" s="212"/>
      <c r="AB220" s="212"/>
      <c r="AC220" s="196"/>
      <c r="AD220" s="27"/>
      <c r="AE220" s="213"/>
      <c r="AF220" s="212">
        <f t="shared" si="25"/>
        <v>0.10115001356438746</v>
      </c>
      <c r="AG220" s="212"/>
      <c r="AH220" s="212"/>
      <c r="AI220" s="212"/>
      <c r="AJ220" s="212"/>
      <c r="AK220" s="212"/>
      <c r="AL220" s="212"/>
      <c r="AM220" s="212"/>
      <c r="AN220" s="212"/>
      <c r="AO220" s="212"/>
      <c r="AP220" s="196"/>
      <c r="AQ220" s="196"/>
      <c r="AR220" s="211"/>
      <c r="AS220" s="212"/>
      <c r="AT220" s="212"/>
      <c r="AU220" s="212"/>
      <c r="AW220" s="58"/>
      <c r="AX220" s="58"/>
      <c r="AY220" s="58"/>
      <c r="AZ220" s="58"/>
    </row>
    <row r="221" spans="1:52" s="185" customFormat="1" ht="15" customHeight="1" x14ac:dyDescent="0.25">
      <c r="A221" s="200"/>
      <c r="B221" s="211"/>
      <c r="C221" s="212">
        <f t="shared" si="20"/>
        <v>21.000000000000028</v>
      </c>
      <c r="D221" s="231">
        <f>15+[2]!STEPLOAD(5)</f>
        <v>20</v>
      </c>
      <c r="E221" s="212">
        <f t="shared" si="21"/>
        <v>44.792739537315143</v>
      </c>
      <c r="F221" s="212">
        <f t="shared" si="22"/>
        <v>0.5</v>
      </c>
      <c r="G221" s="212">
        <f>5</f>
        <v>5</v>
      </c>
      <c r="H221" s="212">
        <f>60</f>
        <v>60</v>
      </c>
      <c r="I221" s="212">
        <f t="shared" si="23"/>
        <v>0.9</v>
      </c>
      <c r="J221" s="212">
        <f>1</f>
        <v>1</v>
      </c>
      <c r="K221" s="212">
        <f t="shared" si="24"/>
        <v>4.1870000000000003</v>
      </c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2"/>
      <c r="AC221" s="196"/>
      <c r="AD221" s="27"/>
      <c r="AE221" s="213"/>
      <c r="AF221" s="212">
        <f t="shared" si="25"/>
        <v>0.1001385134287438</v>
      </c>
      <c r="AG221" s="212"/>
      <c r="AH221" s="212"/>
      <c r="AI221" s="212"/>
      <c r="AJ221" s="212"/>
      <c r="AK221" s="212"/>
      <c r="AL221" s="212"/>
      <c r="AM221" s="212"/>
      <c r="AN221" s="212"/>
      <c r="AO221" s="212"/>
      <c r="AP221" s="196"/>
      <c r="AQ221" s="196"/>
      <c r="AR221" s="211"/>
      <c r="AS221" s="212"/>
      <c r="AT221" s="212"/>
      <c r="AU221" s="212"/>
      <c r="AW221" s="58"/>
      <c r="AX221" s="58"/>
      <c r="AY221" s="58"/>
      <c r="AZ221" s="58"/>
    </row>
    <row r="222" spans="1:52" s="185" customFormat="1" ht="15" customHeight="1" x14ac:dyDescent="0.25">
      <c r="A222" s="200"/>
      <c r="B222" s="211"/>
      <c r="C222" s="212">
        <f t="shared" si="20"/>
        <v>21.10000000000003</v>
      </c>
      <c r="D222" s="231">
        <f>15+[2]!STEPLOAD(5)</f>
        <v>20</v>
      </c>
      <c r="E222" s="212">
        <f t="shared" si="21"/>
        <v>44.802753388658019</v>
      </c>
      <c r="F222" s="212">
        <f t="shared" si="22"/>
        <v>0.5</v>
      </c>
      <c r="G222" s="212">
        <f>5</f>
        <v>5</v>
      </c>
      <c r="H222" s="212">
        <f>60</f>
        <v>60</v>
      </c>
      <c r="I222" s="212">
        <f t="shared" si="23"/>
        <v>0.9</v>
      </c>
      <c r="J222" s="212">
        <f>1</f>
        <v>1</v>
      </c>
      <c r="K222" s="212">
        <f t="shared" si="24"/>
        <v>4.1870000000000003</v>
      </c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  <c r="AA222" s="212"/>
      <c r="AB222" s="212"/>
      <c r="AC222" s="196"/>
      <c r="AD222" s="27"/>
      <c r="AE222" s="213"/>
      <c r="AF222" s="212">
        <f t="shared" si="25"/>
        <v>9.91371282944562E-2</v>
      </c>
      <c r="AG222" s="212"/>
      <c r="AH222" s="212"/>
      <c r="AI222" s="212"/>
      <c r="AJ222" s="212"/>
      <c r="AK222" s="212"/>
      <c r="AL222" s="212"/>
      <c r="AM222" s="212"/>
      <c r="AN222" s="212"/>
      <c r="AO222" s="212"/>
      <c r="AP222" s="196"/>
      <c r="AQ222" s="196"/>
      <c r="AR222" s="211"/>
      <c r="AS222" s="212"/>
      <c r="AT222" s="212"/>
      <c r="AU222" s="212"/>
      <c r="AW222" s="58"/>
      <c r="AX222" s="58"/>
      <c r="AY222" s="58"/>
      <c r="AZ222" s="58"/>
    </row>
    <row r="223" spans="1:52" s="185" customFormat="1" ht="15" customHeight="1" x14ac:dyDescent="0.25">
      <c r="A223" s="200"/>
      <c r="B223" s="211"/>
      <c r="C223" s="212">
        <f t="shared" si="20"/>
        <v>21.200000000000031</v>
      </c>
      <c r="D223" s="231">
        <f>15+[2]!STEPLOAD(5)</f>
        <v>20</v>
      </c>
      <c r="E223" s="212">
        <f t="shared" si="21"/>
        <v>44.812667101487463</v>
      </c>
      <c r="F223" s="212">
        <f t="shared" si="22"/>
        <v>0.5</v>
      </c>
      <c r="G223" s="212">
        <f>5</f>
        <v>5</v>
      </c>
      <c r="H223" s="212">
        <f>60</f>
        <v>60</v>
      </c>
      <c r="I223" s="212">
        <f t="shared" si="23"/>
        <v>0.9</v>
      </c>
      <c r="J223" s="212">
        <f>1</f>
        <v>1</v>
      </c>
      <c r="K223" s="212">
        <f t="shared" si="24"/>
        <v>4.1870000000000003</v>
      </c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196"/>
      <c r="AD223" s="27"/>
      <c r="AE223" s="213"/>
      <c r="AF223" s="212">
        <f t="shared" si="25"/>
        <v>9.8145757011511403E-2</v>
      </c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196"/>
      <c r="AQ223" s="196"/>
      <c r="AR223" s="211"/>
      <c r="AS223" s="212"/>
      <c r="AT223" s="212"/>
      <c r="AU223" s="212"/>
      <c r="AW223" s="58"/>
      <c r="AX223" s="58"/>
      <c r="AY223" s="58"/>
      <c r="AZ223" s="58"/>
    </row>
    <row r="224" spans="1:52" s="185" customFormat="1" ht="15" customHeight="1" x14ac:dyDescent="0.25">
      <c r="A224" s="200"/>
      <c r="B224" s="211"/>
      <c r="C224" s="212">
        <f t="shared" si="20"/>
        <v>21.300000000000033</v>
      </c>
      <c r="D224" s="231">
        <f>15+[2]!STEPLOAD(5)</f>
        <v>20</v>
      </c>
      <c r="E224" s="212">
        <f t="shared" si="21"/>
        <v>44.822481677188613</v>
      </c>
      <c r="F224" s="212">
        <f t="shared" si="22"/>
        <v>0.5</v>
      </c>
      <c r="G224" s="212">
        <f>5</f>
        <v>5</v>
      </c>
      <c r="H224" s="212">
        <f>60</f>
        <v>60</v>
      </c>
      <c r="I224" s="212">
        <f t="shared" si="23"/>
        <v>0.9</v>
      </c>
      <c r="J224" s="212">
        <f>1</f>
        <v>1</v>
      </c>
      <c r="K224" s="212">
        <f t="shared" si="24"/>
        <v>4.1870000000000003</v>
      </c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212"/>
      <c r="AA224" s="212"/>
      <c r="AB224" s="212"/>
      <c r="AC224" s="196"/>
      <c r="AD224" s="27"/>
      <c r="AE224" s="213"/>
      <c r="AF224" s="212">
        <f t="shared" si="25"/>
        <v>9.7164299441396818E-2</v>
      </c>
      <c r="AG224" s="212"/>
      <c r="AH224" s="212"/>
      <c r="AI224" s="212"/>
      <c r="AJ224" s="212"/>
      <c r="AK224" s="212"/>
      <c r="AL224" s="212"/>
      <c r="AM224" s="212"/>
      <c r="AN224" s="212"/>
      <c r="AO224" s="212"/>
      <c r="AP224" s="196"/>
      <c r="AQ224" s="196"/>
      <c r="AR224" s="211"/>
      <c r="AS224" s="212"/>
      <c r="AT224" s="212"/>
      <c r="AU224" s="212"/>
      <c r="AW224" s="58"/>
      <c r="AX224" s="58"/>
      <c r="AY224" s="58"/>
      <c r="AZ224" s="58"/>
    </row>
    <row r="225" spans="1:52" s="185" customFormat="1" ht="15" customHeight="1" x14ac:dyDescent="0.25">
      <c r="A225" s="200"/>
      <c r="B225" s="211"/>
      <c r="C225" s="212">
        <f t="shared" si="20"/>
        <v>21.400000000000034</v>
      </c>
      <c r="D225" s="231">
        <f>15+[2]!STEPLOAD(5)</f>
        <v>20</v>
      </c>
      <c r="E225" s="212">
        <f t="shared" si="21"/>
        <v>44.832198107132754</v>
      </c>
      <c r="F225" s="212">
        <f t="shared" si="22"/>
        <v>0.5</v>
      </c>
      <c r="G225" s="212">
        <f>5</f>
        <v>5</v>
      </c>
      <c r="H225" s="212">
        <f>60</f>
        <v>60</v>
      </c>
      <c r="I225" s="212">
        <f t="shared" si="23"/>
        <v>0.9</v>
      </c>
      <c r="J225" s="212">
        <f>1</f>
        <v>1</v>
      </c>
      <c r="K225" s="212">
        <f t="shared" si="24"/>
        <v>4.1870000000000003</v>
      </c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2"/>
      <c r="AC225" s="196"/>
      <c r="AD225" s="27"/>
      <c r="AE225" s="213"/>
      <c r="AF225" s="212">
        <f t="shared" si="25"/>
        <v>9.6192656446982383E-2</v>
      </c>
      <c r="AG225" s="212"/>
      <c r="AH225" s="212"/>
      <c r="AI225" s="212"/>
      <c r="AJ225" s="212"/>
      <c r="AK225" s="212"/>
      <c r="AL225" s="212"/>
      <c r="AM225" s="212"/>
      <c r="AN225" s="212"/>
      <c r="AO225" s="212"/>
      <c r="AP225" s="196"/>
      <c r="AQ225" s="196"/>
      <c r="AR225" s="211"/>
      <c r="AS225" s="212"/>
      <c r="AT225" s="212"/>
      <c r="AU225" s="212"/>
      <c r="AW225" s="58"/>
      <c r="AX225" s="58"/>
      <c r="AY225" s="58"/>
      <c r="AZ225" s="58"/>
    </row>
    <row r="226" spans="1:52" s="185" customFormat="1" ht="15" customHeight="1" x14ac:dyDescent="0.25">
      <c r="A226" s="200"/>
      <c r="B226" s="211"/>
      <c r="C226" s="212">
        <f t="shared" si="20"/>
        <v>21.500000000000036</v>
      </c>
      <c r="D226" s="231">
        <f>15+[2]!STEPLOAD(5)</f>
        <v>20</v>
      </c>
      <c r="E226" s="212">
        <f t="shared" si="21"/>
        <v>44.841817372777456</v>
      </c>
      <c r="F226" s="212">
        <f t="shared" si="22"/>
        <v>0.5</v>
      </c>
      <c r="G226" s="212">
        <f>5</f>
        <v>5</v>
      </c>
      <c r="H226" s="212">
        <f>60</f>
        <v>60</v>
      </c>
      <c r="I226" s="212">
        <f t="shared" si="23"/>
        <v>0.9</v>
      </c>
      <c r="J226" s="212">
        <f>1</f>
        <v>1</v>
      </c>
      <c r="K226" s="212">
        <f t="shared" si="24"/>
        <v>4.1870000000000003</v>
      </c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  <c r="AA226" s="212"/>
      <c r="AB226" s="212"/>
      <c r="AC226" s="196"/>
      <c r="AD226" s="27"/>
      <c r="AE226" s="213"/>
      <c r="AF226" s="212">
        <f t="shared" si="25"/>
        <v>9.5230729882512133E-2</v>
      </c>
      <c r="AG226" s="212"/>
      <c r="AH226" s="212"/>
      <c r="AI226" s="212"/>
      <c r="AJ226" s="212"/>
      <c r="AK226" s="212"/>
      <c r="AL226" s="212"/>
      <c r="AM226" s="212"/>
      <c r="AN226" s="212"/>
      <c r="AO226" s="212"/>
      <c r="AP226" s="196"/>
      <c r="AQ226" s="196"/>
      <c r="AR226" s="211"/>
      <c r="AS226" s="212"/>
      <c r="AT226" s="212"/>
      <c r="AU226" s="212"/>
      <c r="AW226" s="58"/>
      <c r="AX226" s="58"/>
      <c r="AY226" s="58"/>
      <c r="AZ226" s="58"/>
    </row>
    <row r="227" spans="1:52" s="185" customFormat="1" ht="15" customHeight="1" x14ac:dyDescent="0.25">
      <c r="A227" s="200"/>
      <c r="B227" s="211"/>
      <c r="C227" s="212">
        <f t="shared" si="20"/>
        <v>21.600000000000037</v>
      </c>
      <c r="D227" s="231">
        <f>15+[2]!STEPLOAD(5)</f>
        <v>20</v>
      </c>
      <c r="E227" s="212">
        <f t="shared" si="21"/>
        <v>44.851340445765707</v>
      </c>
      <c r="F227" s="212">
        <f t="shared" si="22"/>
        <v>0.5</v>
      </c>
      <c r="G227" s="212">
        <f>5</f>
        <v>5</v>
      </c>
      <c r="H227" s="212">
        <f>60</f>
        <v>60</v>
      </c>
      <c r="I227" s="212">
        <f t="shared" si="23"/>
        <v>0.9</v>
      </c>
      <c r="J227" s="212">
        <f>1</f>
        <v>1</v>
      </c>
      <c r="K227" s="212">
        <f t="shared" si="24"/>
        <v>4.1870000000000003</v>
      </c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212"/>
      <c r="AA227" s="212"/>
      <c r="AB227" s="212"/>
      <c r="AC227" s="196"/>
      <c r="AD227" s="27"/>
      <c r="AE227" s="213"/>
      <c r="AF227" s="212">
        <f t="shared" si="25"/>
        <v>9.4278422583687238E-2</v>
      </c>
      <c r="AG227" s="212"/>
      <c r="AH227" s="212"/>
      <c r="AI227" s="212"/>
      <c r="AJ227" s="212"/>
      <c r="AK227" s="212"/>
      <c r="AL227" s="212"/>
      <c r="AM227" s="212"/>
      <c r="AN227" s="212"/>
      <c r="AO227" s="212"/>
      <c r="AP227" s="196"/>
      <c r="AQ227" s="196"/>
      <c r="AR227" s="211"/>
      <c r="AS227" s="212"/>
      <c r="AT227" s="212"/>
      <c r="AU227" s="212"/>
      <c r="AW227" s="58"/>
      <c r="AX227" s="58"/>
      <c r="AY227" s="58"/>
      <c r="AZ227" s="58"/>
    </row>
    <row r="228" spans="1:52" s="185" customFormat="1" ht="15" customHeight="1" x14ac:dyDescent="0.25">
      <c r="A228" s="200"/>
      <c r="B228" s="211"/>
      <c r="C228" s="212">
        <f t="shared" si="20"/>
        <v>21.700000000000038</v>
      </c>
      <c r="D228" s="231">
        <f>15+[2]!STEPLOAD(5)</f>
        <v>20</v>
      </c>
      <c r="E228" s="212">
        <f t="shared" si="21"/>
        <v>44.860768288024076</v>
      </c>
      <c r="F228" s="212">
        <f t="shared" si="22"/>
        <v>0.5</v>
      </c>
      <c r="G228" s="212">
        <f>5</f>
        <v>5</v>
      </c>
      <c r="H228" s="212">
        <f>60</f>
        <v>60</v>
      </c>
      <c r="I228" s="212">
        <f t="shared" si="23"/>
        <v>0.9</v>
      </c>
      <c r="J228" s="212">
        <f>1</f>
        <v>1</v>
      </c>
      <c r="K228" s="212">
        <f t="shared" si="24"/>
        <v>4.1870000000000003</v>
      </c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212"/>
      <c r="AA228" s="212"/>
      <c r="AB228" s="212"/>
      <c r="AC228" s="196"/>
      <c r="AD228" s="27"/>
      <c r="AE228" s="213"/>
      <c r="AF228" s="212">
        <f t="shared" si="25"/>
        <v>9.3335638357850303E-2</v>
      </c>
      <c r="AG228" s="212"/>
      <c r="AH228" s="212"/>
      <c r="AI228" s="212"/>
      <c r="AJ228" s="212"/>
      <c r="AK228" s="212"/>
      <c r="AL228" s="212"/>
      <c r="AM228" s="212"/>
      <c r="AN228" s="212"/>
      <c r="AO228" s="212"/>
      <c r="AP228" s="196"/>
      <c r="AQ228" s="196"/>
      <c r="AR228" s="211"/>
      <c r="AS228" s="212"/>
      <c r="AT228" s="212"/>
      <c r="AU228" s="212"/>
      <c r="AW228" s="58"/>
      <c r="AX228" s="58"/>
      <c r="AY228" s="58"/>
      <c r="AZ228" s="58"/>
    </row>
    <row r="229" spans="1:52" s="185" customFormat="1" ht="15" customHeight="1" x14ac:dyDescent="0.25">
      <c r="A229" s="200"/>
      <c r="B229" s="211"/>
      <c r="C229" s="212">
        <f t="shared" si="20"/>
        <v>21.80000000000004</v>
      </c>
      <c r="D229" s="231">
        <f>15+[2]!STEPLOAD(5)</f>
        <v>20</v>
      </c>
      <c r="E229" s="212">
        <f t="shared" si="21"/>
        <v>44.870101851859864</v>
      </c>
      <c r="F229" s="212">
        <f t="shared" si="22"/>
        <v>0.5</v>
      </c>
      <c r="G229" s="212">
        <f>5</f>
        <v>5</v>
      </c>
      <c r="H229" s="212">
        <f>60</f>
        <v>60</v>
      </c>
      <c r="I229" s="212">
        <f t="shared" si="23"/>
        <v>0.9</v>
      </c>
      <c r="J229" s="212">
        <f>1</f>
        <v>1</v>
      </c>
      <c r="K229" s="212">
        <f t="shared" si="24"/>
        <v>4.1870000000000003</v>
      </c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212"/>
      <c r="AA229" s="212"/>
      <c r="AB229" s="212"/>
      <c r="AC229" s="196"/>
      <c r="AD229" s="27"/>
      <c r="AE229" s="213"/>
      <c r="AF229" s="212">
        <f t="shared" si="25"/>
        <v>9.2402281974271361E-2</v>
      </c>
      <c r="AG229" s="212"/>
      <c r="AH229" s="212"/>
      <c r="AI229" s="212"/>
      <c r="AJ229" s="212"/>
      <c r="AK229" s="212"/>
      <c r="AL229" s="212"/>
      <c r="AM229" s="212"/>
      <c r="AN229" s="212"/>
      <c r="AO229" s="212"/>
      <c r="AP229" s="196"/>
      <c r="AQ229" s="196"/>
      <c r="AR229" s="211"/>
      <c r="AS229" s="212"/>
      <c r="AT229" s="212"/>
      <c r="AU229" s="212"/>
      <c r="AW229" s="58"/>
      <c r="AX229" s="58"/>
      <c r="AY229" s="58"/>
      <c r="AZ229" s="58"/>
    </row>
    <row r="230" spans="1:52" s="185" customFormat="1" ht="15" customHeight="1" x14ac:dyDescent="0.25">
      <c r="A230" s="200"/>
      <c r="B230" s="211"/>
      <c r="C230" s="212">
        <f t="shared" si="20"/>
        <v>21.900000000000041</v>
      </c>
      <c r="D230" s="231">
        <f>15+[2]!STEPLOAD(5)</f>
        <v>20</v>
      </c>
      <c r="E230" s="212">
        <f t="shared" si="21"/>
        <v>44.879342080057292</v>
      </c>
      <c r="F230" s="212">
        <f t="shared" si="22"/>
        <v>0.5</v>
      </c>
      <c r="G230" s="212">
        <f>5</f>
        <v>5</v>
      </c>
      <c r="H230" s="212">
        <f>60</f>
        <v>60</v>
      </c>
      <c r="I230" s="212">
        <f t="shared" si="23"/>
        <v>0.9</v>
      </c>
      <c r="J230" s="212">
        <f>1</f>
        <v>1</v>
      </c>
      <c r="K230" s="212">
        <f t="shared" si="24"/>
        <v>4.1870000000000003</v>
      </c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212"/>
      <c r="AA230" s="212"/>
      <c r="AB230" s="212"/>
      <c r="AC230" s="196"/>
      <c r="AD230" s="27"/>
      <c r="AE230" s="213"/>
      <c r="AF230" s="212">
        <f t="shared" si="25"/>
        <v>9.1478259154528896E-2</v>
      </c>
      <c r="AG230" s="212"/>
      <c r="AH230" s="212"/>
      <c r="AI230" s="212"/>
      <c r="AJ230" s="212"/>
      <c r="AK230" s="212"/>
      <c r="AL230" s="212"/>
      <c r="AM230" s="212"/>
      <c r="AN230" s="212"/>
      <c r="AO230" s="212"/>
      <c r="AP230" s="196"/>
      <c r="AQ230" s="196"/>
      <c r="AR230" s="211"/>
      <c r="AS230" s="212"/>
      <c r="AT230" s="212"/>
      <c r="AU230" s="212"/>
      <c r="AW230" s="58"/>
      <c r="AX230" s="58"/>
      <c r="AY230" s="58"/>
      <c r="AZ230" s="58"/>
    </row>
    <row r="231" spans="1:52" s="185" customFormat="1" ht="15" customHeight="1" x14ac:dyDescent="0.25">
      <c r="A231" s="200"/>
      <c r="B231" s="211"/>
      <c r="C231" s="212">
        <f t="shared" si="20"/>
        <v>22.000000000000043</v>
      </c>
      <c r="D231" s="231">
        <f>15+[2]!STEPLOAD(5)</f>
        <v>20</v>
      </c>
      <c r="E231" s="212">
        <f t="shared" si="21"/>
        <v>44.888489905972747</v>
      </c>
      <c r="F231" s="212">
        <f t="shared" si="22"/>
        <v>0.5</v>
      </c>
      <c r="G231" s="212">
        <f>5</f>
        <v>5</v>
      </c>
      <c r="H231" s="212">
        <f>60</f>
        <v>60</v>
      </c>
      <c r="I231" s="212">
        <f t="shared" si="23"/>
        <v>0.9</v>
      </c>
      <c r="J231" s="212">
        <f>1</f>
        <v>1</v>
      </c>
      <c r="K231" s="212">
        <f t="shared" si="24"/>
        <v>4.1870000000000003</v>
      </c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  <c r="AA231" s="212"/>
      <c r="AB231" s="212"/>
      <c r="AC231" s="196"/>
      <c r="AD231" s="27"/>
      <c r="AE231" s="213"/>
      <c r="AF231" s="212">
        <f t="shared" si="25"/>
        <v>9.0563476562983247E-2</v>
      </c>
      <c r="AG231" s="212"/>
      <c r="AH231" s="212"/>
      <c r="AI231" s="212"/>
      <c r="AJ231" s="212"/>
      <c r="AK231" s="212"/>
      <c r="AL231" s="212"/>
      <c r="AM231" s="212"/>
      <c r="AN231" s="212"/>
      <c r="AO231" s="212"/>
      <c r="AP231" s="196"/>
      <c r="AQ231" s="196"/>
      <c r="AR231" s="211"/>
      <c r="AS231" s="212"/>
      <c r="AT231" s="212"/>
      <c r="AU231" s="212"/>
      <c r="AW231" s="58"/>
      <c r="AX231" s="58"/>
      <c r="AY231" s="58"/>
      <c r="AZ231" s="58"/>
    </row>
    <row r="232" spans="1:52" s="185" customFormat="1" ht="15" customHeight="1" x14ac:dyDescent="0.25">
      <c r="A232" s="200"/>
      <c r="B232" s="211"/>
      <c r="C232" s="212">
        <f t="shared" si="20"/>
        <v>22.100000000000044</v>
      </c>
      <c r="D232" s="231">
        <f>15+[2]!STEPLOAD(5)</f>
        <v>20</v>
      </c>
      <c r="E232" s="212">
        <f t="shared" si="21"/>
        <v>44.897546253629045</v>
      </c>
      <c r="F232" s="212">
        <f t="shared" si="22"/>
        <v>0.5</v>
      </c>
      <c r="G232" s="212">
        <f>5</f>
        <v>5</v>
      </c>
      <c r="H232" s="212">
        <f>60</f>
        <v>60</v>
      </c>
      <c r="I232" s="212">
        <f t="shared" si="23"/>
        <v>0.9</v>
      </c>
      <c r="J232" s="212">
        <f>1</f>
        <v>1</v>
      </c>
      <c r="K232" s="212">
        <f t="shared" si="24"/>
        <v>4.1870000000000003</v>
      </c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212"/>
      <c r="AA232" s="212"/>
      <c r="AB232" s="212"/>
      <c r="AC232" s="196"/>
      <c r="AD232" s="27"/>
      <c r="AE232" s="213"/>
      <c r="AF232" s="212">
        <f t="shared" si="25"/>
        <v>8.9657841797353477E-2</v>
      </c>
      <c r="AG232" s="212"/>
      <c r="AH232" s="212"/>
      <c r="AI232" s="212"/>
      <c r="AJ232" s="212"/>
      <c r="AK232" s="212"/>
      <c r="AL232" s="212"/>
      <c r="AM232" s="212"/>
      <c r="AN232" s="212"/>
      <c r="AO232" s="212"/>
      <c r="AP232" s="196"/>
      <c r="AQ232" s="196"/>
      <c r="AR232" s="211"/>
      <c r="AS232" s="212"/>
      <c r="AT232" s="212"/>
      <c r="AU232" s="212"/>
      <c r="AW232" s="58"/>
      <c r="AX232" s="58"/>
      <c r="AY232" s="58"/>
      <c r="AZ232" s="58"/>
    </row>
    <row r="233" spans="1:52" s="185" customFormat="1" ht="15" customHeight="1" x14ac:dyDescent="0.25">
      <c r="A233" s="200"/>
      <c r="B233" s="211"/>
      <c r="C233" s="212">
        <f t="shared" si="20"/>
        <v>22.200000000000045</v>
      </c>
      <c r="D233" s="231">
        <f>15+[2]!STEPLOAD(5)</f>
        <v>20</v>
      </c>
      <c r="E233" s="212">
        <f t="shared" si="21"/>
        <v>44.906512037808781</v>
      </c>
      <c r="F233" s="212">
        <f t="shared" si="22"/>
        <v>0.5</v>
      </c>
      <c r="G233" s="212">
        <f>5</f>
        <v>5</v>
      </c>
      <c r="H233" s="212">
        <f>60</f>
        <v>60</v>
      </c>
      <c r="I233" s="212">
        <f t="shared" si="23"/>
        <v>0.9</v>
      </c>
      <c r="J233" s="212">
        <f>1</f>
        <v>1</v>
      </c>
      <c r="K233" s="212">
        <f t="shared" si="24"/>
        <v>4.1870000000000003</v>
      </c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  <c r="AA233" s="212"/>
      <c r="AB233" s="212"/>
      <c r="AC233" s="196"/>
      <c r="AD233" s="27"/>
      <c r="AE233" s="213"/>
      <c r="AF233" s="212">
        <f t="shared" si="25"/>
        <v>8.8761263379379951E-2</v>
      </c>
      <c r="AG233" s="212"/>
      <c r="AH233" s="212"/>
      <c r="AI233" s="212"/>
      <c r="AJ233" s="212"/>
      <c r="AK233" s="212"/>
      <c r="AL233" s="212"/>
      <c r="AM233" s="212"/>
      <c r="AN233" s="212"/>
      <c r="AO233" s="212"/>
      <c r="AP233" s="196"/>
      <c r="AQ233" s="196"/>
      <c r="AR233" s="211"/>
      <c r="AS233" s="212"/>
      <c r="AT233" s="212"/>
      <c r="AU233" s="212"/>
      <c r="AW233" s="58"/>
      <c r="AX233" s="58"/>
      <c r="AY233" s="58"/>
      <c r="AZ233" s="58"/>
    </row>
    <row r="234" spans="1:52" s="185" customFormat="1" ht="15" customHeight="1" x14ac:dyDescent="0.25">
      <c r="A234" s="200"/>
      <c r="B234" s="211"/>
      <c r="C234" s="212">
        <f t="shared" si="20"/>
        <v>22.300000000000047</v>
      </c>
      <c r="D234" s="231">
        <f>15+[2]!STEPLOAD(5)</f>
        <v>20</v>
      </c>
      <c r="E234" s="212">
        <f t="shared" si="21"/>
        <v>44.915388164146719</v>
      </c>
      <c r="F234" s="212">
        <f t="shared" si="22"/>
        <v>0.5</v>
      </c>
      <c r="G234" s="212">
        <f>5</f>
        <v>5</v>
      </c>
      <c r="H234" s="212">
        <f>60</f>
        <v>60</v>
      </c>
      <c r="I234" s="212">
        <f t="shared" si="23"/>
        <v>0.9</v>
      </c>
      <c r="J234" s="212">
        <f>1</f>
        <v>1</v>
      </c>
      <c r="K234" s="212">
        <f t="shared" si="24"/>
        <v>4.1870000000000003</v>
      </c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212"/>
      <c r="AA234" s="212"/>
      <c r="AB234" s="212"/>
      <c r="AC234" s="196"/>
      <c r="AD234" s="27"/>
      <c r="AE234" s="213"/>
      <c r="AF234" s="212">
        <f t="shared" si="25"/>
        <v>8.7873650745585952E-2</v>
      </c>
      <c r="AG234" s="212"/>
      <c r="AH234" s="212"/>
      <c r="AI234" s="212"/>
      <c r="AJ234" s="212"/>
      <c r="AK234" s="212"/>
      <c r="AL234" s="212"/>
      <c r="AM234" s="212"/>
      <c r="AN234" s="212"/>
      <c r="AO234" s="212"/>
      <c r="AP234" s="196"/>
      <c r="AQ234" s="196"/>
      <c r="AR234" s="211"/>
      <c r="AS234" s="212"/>
      <c r="AT234" s="212"/>
      <c r="AU234" s="212"/>
      <c r="AW234" s="58"/>
      <c r="AX234" s="58"/>
      <c r="AY234" s="58"/>
      <c r="AZ234" s="58"/>
    </row>
    <row r="235" spans="1:52" s="185" customFormat="1" ht="15" customHeight="1" x14ac:dyDescent="0.25">
      <c r="A235" s="200"/>
      <c r="B235" s="211"/>
      <c r="C235" s="212">
        <f t="shared" si="20"/>
        <v>22.400000000000048</v>
      </c>
      <c r="D235" s="231">
        <f>15+[2]!STEPLOAD(5)</f>
        <v>20</v>
      </c>
      <c r="E235" s="212">
        <f t="shared" si="21"/>
        <v>44.92417552922128</v>
      </c>
      <c r="F235" s="212">
        <f t="shared" si="22"/>
        <v>0.5</v>
      </c>
      <c r="G235" s="212">
        <f>5</f>
        <v>5</v>
      </c>
      <c r="H235" s="212">
        <f>60</f>
        <v>60</v>
      </c>
      <c r="I235" s="212">
        <f t="shared" si="23"/>
        <v>0.9</v>
      </c>
      <c r="J235" s="212">
        <f>1</f>
        <v>1</v>
      </c>
      <c r="K235" s="212">
        <f t="shared" si="24"/>
        <v>4.1870000000000003</v>
      </c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196"/>
      <c r="AD235" s="27"/>
      <c r="AE235" s="213"/>
      <c r="AF235" s="212">
        <f t="shared" si="25"/>
        <v>8.6994914238129883E-2</v>
      </c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196"/>
      <c r="AQ235" s="196"/>
      <c r="AR235" s="211"/>
      <c r="AS235" s="212"/>
      <c r="AT235" s="212"/>
      <c r="AU235" s="212"/>
      <c r="AW235" s="58"/>
      <c r="AX235" s="58"/>
      <c r="AY235" s="58"/>
      <c r="AZ235" s="58"/>
    </row>
    <row r="236" spans="1:52" s="185" customFormat="1" ht="15" customHeight="1" x14ac:dyDescent="0.25">
      <c r="A236" s="200"/>
      <c r="B236" s="211"/>
      <c r="C236" s="212">
        <f t="shared" si="20"/>
        <v>22.50000000000005</v>
      </c>
      <c r="D236" s="231">
        <f>15+[2]!STEPLOAD(5)</f>
        <v>20</v>
      </c>
      <c r="E236" s="212">
        <f t="shared" si="21"/>
        <v>44.932875020645092</v>
      </c>
      <c r="F236" s="212">
        <f t="shared" si="22"/>
        <v>0.5</v>
      </c>
      <c r="G236" s="212">
        <f>5</f>
        <v>5</v>
      </c>
      <c r="H236" s="212">
        <f>60</f>
        <v>60</v>
      </c>
      <c r="I236" s="212">
        <f t="shared" si="23"/>
        <v>0.9</v>
      </c>
      <c r="J236" s="212">
        <f>1</f>
        <v>1</v>
      </c>
      <c r="K236" s="212">
        <f t="shared" si="24"/>
        <v>4.1870000000000003</v>
      </c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196"/>
      <c r="AD236" s="27"/>
      <c r="AE236" s="213"/>
      <c r="AF236" s="212">
        <f t="shared" si="25"/>
        <v>8.6124965095748518E-2</v>
      </c>
      <c r="AG236" s="212"/>
      <c r="AH236" s="212"/>
      <c r="AI236" s="212"/>
      <c r="AJ236" s="212"/>
      <c r="AK236" s="212"/>
      <c r="AL236" s="212"/>
      <c r="AM236" s="212"/>
      <c r="AN236" s="212"/>
      <c r="AO236" s="212"/>
      <c r="AP236" s="196"/>
      <c r="AQ236" s="196"/>
      <c r="AR236" s="211"/>
      <c r="AS236" s="212"/>
      <c r="AT236" s="212"/>
      <c r="AU236" s="212"/>
      <c r="AW236" s="58"/>
      <c r="AX236" s="58"/>
      <c r="AY236" s="58"/>
      <c r="AZ236" s="58"/>
    </row>
    <row r="237" spans="1:52" s="185" customFormat="1" ht="15" customHeight="1" x14ac:dyDescent="0.25">
      <c r="A237" s="200"/>
      <c r="B237" s="211"/>
      <c r="C237" s="212">
        <f t="shared" si="20"/>
        <v>22.600000000000051</v>
      </c>
      <c r="D237" s="231">
        <f>15+[2]!STEPLOAD(5)</f>
        <v>20</v>
      </c>
      <c r="E237" s="212">
        <f t="shared" si="21"/>
        <v>44.94148751715467</v>
      </c>
      <c r="F237" s="212">
        <f t="shared" si="22"/>
        <v>0.5</v>
      </c>
      <c r="G237" s="212">
        <f>5</f>
        <v>5</v>
      </c>
      <c r="H237" s="212">
        <f>60</f>
        <v>60</v>
      </c>
      <c r="I237" s="212">
        <f t="shared" si="23"/>
        <v>0.9</v>
      </c>
      <c r="J237" s="212">
        <f>1</f>
        <v>1</v>
      </c>
      <c r="K237" s="212">
        <f t="shared" si="24"/>
        <v>4.1870000000000003</v>
      </c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  <c r="AA237" s="212"/>
      <c r="AB237" s="212"/>
      <c r="AC237" s="196"/>
      <c r="AD237" s="27"/>
      <c r="AE237" s="213"/>
      <c r="AF237" s="212">
        <f t="shared" si="25"/>
        <v>8.5263715444790833E-2</v>
      </c>
      <c r="AG237" s="212"/>
      <c r="AH237" s="212"/>
      <c r="AI237" s="212"/>
      <c r="AJ237" s="212"/>
      <c r="AK237" s="212"/>
      <c r="AL237" s="212"/>
      <c r="AM237" s="212"/>
      <c r="AN237" s="212"/>
      <c r="AO237" s="212"/>
      <c r="AP237" s="196"/>
      <c r="AQ237" s="196"/>
      <c r="AR237" s="211"/>
      <c r="AS237" s="212"/>
      <c r="AT237" s="212"/>
      <c r="AU237" s="212"/>
      <c r="AW237" s="58"/>
      <c r="AX237" s="58"/>
      <c r="AY237" s="58"/>
      <c r="AZ237" s="58"/>
    </row>
    <row r="238" spans="1:52" s="185" customFormat="1" ht="15" customHeight="1" x14ac:dyDescent="0.25">
      <c r="A238" s="200"/>
      <c r="B238" s="211"/>
      <c r="C238" s="212">
        <f t="shared" si="20"/>
        <v>22.700000000000053</v>
      </c>
      <c r="D238" s="231">
        <f>15+[2]!STEPLOAD(5)</f>
        <v>20</v>
      </c>
      <c r="E238" s="212">
        <f t="shared" si="21"/>
        <v>44.950013888699146</v>
      </c>
      <c r="F238" s="212">
        <f t="shared" si="22"/>
        <v>0.5</v>
      </c>
      <c r="G238" s="212">
        <f>5</f>
        <v>5</v>
      </c>
      <c r="H238" s="212">
        <f>60</f>
        <v>60</v>
      </c>
      <c r="I238" s="212">
        <f t="shared" si="23"/>
        <v>0.9</v>
      </c>
      <c r="J238" s="212">
        <f>1</f>
        <v>1</v>
      </c>
      <c r="K238" s="212">
        <f t="shared" si="24"/>
        <v>4.1870000000000003</v>
      </c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  <c r="AA238" s="212"/>
      <c r="AB238" s="212"/>
      <c r="AC238" s="196"/>
      <c r="AD238" s="27"/>
      <c r="AE238" s="213"/>
      <c r="AF238" s="212">
        <f t="shared" si="25"/>
        <v>8.4411078290343333E-2</v>
      </c>
      <c r="AG238" s="212"/>
      <c r="AH238" s="212"/>
      <c r="AI238" s="212"/>
      <c r="AJ238" s="212"/>
      <c r="AK238" s="212"/>
      <c r="AL238" s="212"/>
      <c r="AM238" s="212"/>
      <c r="AN238" s="212"/>
      <c r="AO238" s="212"/>
      <c r="AP238" s="196"/>
      <c r="AQ238" s="196"/>
      <c r="AR238" s="211"/>
      <c r="AS238" s="212"/>
      <c r="AT238" s="212"/>
      <c r="AU238" s="212"/>
      <c r="AW238" s="58"/>
      <c r="AX238" s="58"/>
      <c r="AY238" s="58"/>
      <c r="AZ238" s="58"/>
    </row>
    <row r="239" spans="1:52" s="185" customFormat="1" ht="15" customHeight="1" x14ac:dyDescent="0.25">
      <c r="A239" s="200"/>
      <c r="B239" s="211"/>
      <c r="C239" s="212">
        <f t="shared" si="20"/>
        <v>22.800000000000054</v>
      </c>
      <c r="D239" s="231">
        <f>15+[2]!STEPLOAD(5)</f>
        <v>20</v>
      </c>
      <c r="E239" s="212">
        <f t="shared" si="21"/>
        <v>44.958454996528182</v>
      </c>
      <c r="F239" s="212">
        <f t="shared" si="22"/>
        <v>0.5</v>
      </c>
      <c r="G239" s="212">
        <f>5</f>
        <v>5</v>
      </c>
      <c r="H239" s="212">
        <f>60</f>
        <v>60</v>
      </c>
      <c r="I239" s="212">
        <f t="shared" si="23"/>
        <v>0.9</v>
      </c>
      <c r="J239" s="212">
        <f>1</f>
        <v>1</v>
      </c>
      <c r="K239" s="212">
        <f t="shared" si="24"/>
        <v>4.1870000000000003</v>
      </c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196"/>
      <c r="AD239" s="27"/>
      <c r="AE239" s="213"/>
      <c r="AF239" s="212">
        <f t="shared" si="25"/>
        <v>8.3566967507439749E-2</v>
      </c>
      <c r="AG239" s="212"/>
      <c r="AH239" s="212"/>
      <c r="AI239" s="212"/>
      <c r="AJ239" s="212"/>
      <c r="AK239" s="212"/>
      <c r="AL239" s="212"/>
      <c r="AM239" s="212"/>
      <c r="AN239" s="212"/>
      <c r="AO239" s="212"/>
      <c r="AP239" s="196"/>
      <c r="AQ239" s="196"/>
      <c r="AR239" s="211"/>
      <c r="AS239" s="212"/>
      <c r="AT239" s="212"/>
      <c r="AU239" s="212"/>
      <c r="AW239" s="58"/>
      <c r="AX239" s="58"/>
      <c r="AY239" s="58"/>
      <c r="AZ239" s="58"/>
    </row>
    <row r="240" spans="1:52" s="185" customFormat="1" ht="15" customHeight="1" x14ac:dyDescent="0.25">
      <c r="A240" s="200"/>
      <c r="B240" s="211"/>
      <c r="C240" s="212">
        <f t="shared" si="20"/>
        <v>22.900000000000055</v>
      </c>
      <c r="D240" s="231">
        <f>15+[2]!STEPLOAD(5)</f>
        <v>20</v>
      </c>
      <c r="E240" s="212">
        <f t="shared" si="21"/>
        <v>44.966811693278927</v>
      </c>
      <c r="F240" s="212">
        <f t="shared" si="22"/>
        <v>0.5</v>
      </c>
      <c r="G240" s="212">
        <f>5</f>
        <v>5</v>
      </c>
      <c r="H240" s="212">
        <f>60</f>
        <v>60</v>
      </c>
      <c r="I240" s="212">
        <f t="shared" si="23"/>
        <v>0.9</v>
      </c>
      <c r="J240" s="212">
        <f>1</f>
        <v>1</v>
      </c>
      <c r="K240" s="212">
        <f t="shared" si="24"/>
        <v>4.1870000000000003</v>
      </c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212"/>
      <c r="AA240" s="212"/>
      <c r="AB240" s="212"/>
      <c r="AC240" s="196"/>
      <c r="AD240" s="27"/>
      <c r="AE240" s="213"/>
      <c r="AF240" s="212">
        <f t="shared" si="25"/>
        <v>8.2731297832365325E-2</v>
      </c>
      <c r="AG240" s="212"/>
      <c r="AH240" s="212"/>
      <c r="AI240" s="212"/>
      <c r="AJ240" s="212"/>
      <c r="AK240" s="212"/>
      <c r="AL240" s="212"/>
      <c r="AM240" s="212"/>
      <c r="AN240" s="212"/>
      <c r="AO240" s="212"/>
      <c r="AP240" s="196"/>
      <c r="AQ240" s="196"/>
      <c r="AR240" s="211"/>
      <c r="AS240" s="212"/>
      <c r="AT240" s="212"/>
      <c r="AU240" s="212"/>
      <c r="AW240" s="58"/>
      <c r="AX240" s="58"/>
      <c r="AY240" s="58"/>
      <c r="AZ240" s="58"/>
    </row>
    <row r="241" spans="1:52" s="185" customFormat="1" ht="15" customHeight="1" x14ac:dyDescent="0.25">
      <c r="A241" s="200"/>
      <c r="B241" s="211"/>
      <c r="C241" s="212">
        <f t="shared" si="20"/>
        <v>23.000000000000057</v>
      </c>
      <c r="D241" s="231">
        <f>15+[2]!STEPLOAD(5)</f>
        <v>20</v>
      </c>
      <c r="E241" s="212">
        <f t="shared" si="21"/>
        <v>44.975084823062161</v>
      </c>
      <c r="F241" s="212">
        <f t="shared" si="22"/>
        <v>0.5</v>
      </c>
      <c r="G241" s="212">
        <f>5</f>
        <v>5</v>
      </c>
      <c r="H241" s="212">
        <f>60</f>
        <v>60</v>
      </c>
      <c r="I241" s="212">
        <f t="shared" si="23"/>
        <v>0.9</v>
      </c>
      <c r="J241" s="212">
        <f>1</f>
        <v>1</v>
      </c>
      <c r="K241" s="212">
        <f t="shared" si="24"/>
        <v>4.1870000000000003</v>
      </c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212"/>
      <c r="AA241" s="212"/>
      <c r="AB241" s="212"/>
      <c r="AC241" s="196"/>
      <c r="AD241" s="27"/>
      <c r="AE241" s="213"/>
      <c r="AF241" s="212">
        <f t="shared" si="25"/>
        <v>8.1903984854041934E-2</v>
      </c>
      <c r="AG241" s="212"/>
      <c r="AH241" s="212"/>
      <c r="AI241" s="212"/>
      <c r="AJ241" s="212"/>
      <c r="AK241" s="212"/>
      <c r="AL241" s="212"/>
      <c r="AM241" s="212"/>
      <c r="AN241" s="212"/>
      <c r="AO241" s="212"/>
      <c r="AP241" s="196"/>
      <c r="AQ241" s="196"/>
      <c r="AR241" s="211"/>
      <c r="AS241" s="212"/>
      <c r="AT241" s="212"/>
      <c r="AU241" s="212"/>
      <c r="AW241" s="58"/>
      <c r="AX241" s="58"/>
      <c r="AY241" s="58"/>
      <c r="AZ241" s="58"/>
    </row>
    <row r="242" spans="1:52" s="185" customFormat="1" ht="15" customHeight="1" x14ac:dyDescent="0.25">
      <c r="A242" s="200"/>
      <c r="B242" s="211"/>
      <c r="C242" s="212">
        <f t="shared" si="20"/>
        <v>23.100000000000058</v>
      </c>
      <c r="D242" s="231">
        <f>15+[2]!STEPLOAD(5)</f>
        <v>20</v>
      </c>
      <c r="E242" s="212">
        <f t="shared" si="21"/>
        <v>44.983275221547565</v>
      </c>
      <c r="F242" s="212">
        <f t="shared" si="22"/>
        <v>0.5</v>
      </c>
      <c r="G242" s="212">
        <f>5</f>
        <v>5</v>
      </c>
      <c r="H242" s="212">
        <f>60</f>
        <v>60</v>
      </c>
      <c r="I242" s="212">
        <f t="shared" si="23"/>
        <v>0.9</v>
      </c>
      <c r="J242" s="212">
        <f>1</f>
        <v>1</v>
      </c>
      <c r="K242" s="212">
        <f t="shared" si="24"/>
        <v>4.1870000000000003</v>
      </c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212"/>
      <c r="AA242" s="212"/>
      <c r="AB242" s="212"/>
      <c r="AC242" s="196"/>
      <c r="AD242" s="27"/>
      <c r="AE242" s="213"/>
      <c r="AF242" s="212">
        <f t="shared" si="25"/>
        <v>8.1084945005501563E-2</v>
      </c>
      <c r="AG242" s="212"/>
      <c r="AH242" s="212"/>
      <c r="AI242" s="212"/>
      <c r="AJ242" s="212"/>
      <c r="AK242" s="212"/>
      <c r="AL242" s="212"/>
      <c r="AM242" s="212"/>
      <c r="AN242" s="212"/>
      <c r="AO242" s="212"/>
      <c r="AP242" s="196"/>
      <c r="AQ242" s="196"/>
      <c r="AR242" s="211"/>
      <c r="AS242" s="212"/>
      <c r="AT242" s="212"/>
      <c r="AU242" s="212"/>
      <c r="AW242" s="58"/>
      <c r="AX242" s="58"/>
      <c r="AY242" s="58"/>
      <c r="AZ242" s="58"/>
    </row>
    <row r="243" spans="1:52" s="185" customFormat="1" ht="15" customHeight="1" x14ac:dyDescent="0.25">
      <c r="A243" s="200"/>
      <c r="B243" s="211"/>
      <c r="C243" s="212">
        <f t="shared" si="20"/>
        <v>23.20000000000006</v>
      </c>
      <c r="D243" s="231">
        <f>15+[2]!STEPLOAD(5)</f>
        <v>20</v>
      </c>
      <c r="E243" s="212">
        <f t="shared" si="21"/>
        <v>44.991383716048112</v>
      </c>
      <c r="F243" s="212">
        <f t="shared" si="22"/>
        <v>0.5</v>
      </c>
      <c r="G243" s="212">
        <f>5</f>
        <v>5</v>
      </c>
      <c r="H243" s="212">
        <f>60</f>
        <v>60</v>
      </c>
      <c r="I243" s="212">
        <f t="shared" si="23"/>
        <v>0.9</v>
      </c>
      <c r="J243" s="212">
        <f>1</f>
        <v>1</v>
      </c>
      <c r="K243" s="212">
        <f t="shared" si="24"/>
        <v>4.1870000000000003</v>
      </c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212"/>
      <c r="AA243" s="212"/>
      <c r="AB243" s="212"/>
      <c r="AC243" s="196"/>
      <c r="AD243" s="27"/>
      <c r="AE243" s="213"/>
      <c r="AF243" s="212">
        <f t="shared" si="25"/>
        <v>8.0274095555446845E-2</v>
      </c>
      <c r="AG243" s="212"/>
      <c r="AH243" s="212"/>
      <c r="AI243" s="212"/>
      <c r="AJ243" s="212"/>
      <c r="AK243" s="212"/>
      <c r="AL243" s="212"/>
      <c r="AM243" s="212"/>
      <c r="AN243" s="212"/>
      <c r="AO243" s="212"/>
      <c r="AP243" s="196"/>
      <c r="AQ243" s="196"/>
      <c r="AR243" s="211"/>
      <c r="AS243" s="212"/>
      <c r="AT243" s="212"/>
      <c r="AU243" s="212"/>
      <c r="AW243" s="58"/>
      <c r="AX243" s="58"/>
      <c r="AY243" s="58"/>
      <c r="AZ243" s="58"/>
    </row>
    <row r="244" spans="1:52" s="185" customFormat="1" ht="15" customHeight="1" x14ac:dyDescent="0.25">
      <c r="A244" s="200"/>
      <c r="B244" s="211"/>
      <c r="C244" s="212">
        <f t="shared" si="20"/>
        <v>23.300000000000061</v>
      </c>
      <c r="D244" s="231">
        <f>15+[2]!STEPLOAD(5)</f>
        <v>20</v>
      </c>
      <c r="E244" s="212">
        <f t="shared" si="21"/>
        <v>44.999411125603658</v>
      </c>
      <c r="F244" s="212">
        <f t="shared" si="22"/>
        <v>0.5</v>
      </c>
      <c r="G244" s="212">
        <f>5</f>
        <v>5</v>
      </c>
      <c r="H244" s="212">
        <f>60</f>
        <v>60</v>
      </c>
      <c r="I244" s="212">
        <f t="shared" si="23"/>
        <v>0.9</v>
      </c>
      <c r="J244" s="212">
        <f>1</f>
        <v>1</v>
      </c>
      <c r="K244" s="212">
        <f t="shared" si="24"/>
        <v>4.1870000000000003</v>
      </c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212"/>
      <c r="AA244" s="212"/>
      <c r="AB244" s="212"/>
      <c r="AC244" s="196"/>
      <c r="AD244" s="27"/>
      <c r="AE244" s="213"/>
      <c r="AF244" s="212">
        <f t="shared" si="25"/>
        <v>7.9471354599891963E-2</v>
      </c>
      <c r="AG244" s="212"/>
      <c r="AH244" s="212"/>
      <c r="AI244" s="212"/>
      <c r="AJ244" s="212"/>
      <c r="AK244" s="212"/>
      <c r="AL244" s="212"/>
      <c r="AM244" s="212"/>
      <c r="AN244" s="212"/>
      <c r="AO244" s="212"/>
      <c r="AP244" s="196"/>
      <c r="AQ244" s="196"/>
      <c r="AR244" s="211"/>
      <c r="AS244" s="212"/>
      <c r="AT244" s="212"/>
      <c r="AU244" s="212"/>
      <c r="AW244" s="58"/>
      <c r="AX244" s="58"/>
      <c r="AY244" s="58"/>
      <c r="AZ244" s="58"/>
    </row>
    <row r="245" spans="1:52" s="185" customFormat="1" ht="15" customHeight="1" x14ac:dyDescent="0.25">
      <c r="A245" s="200"/>
      <c r="B245" s="211"/>
      <c r="C245" s="212">
        <f t="shared" si="20"/>
        <v>23.400000000000063</v>
      </c>
      <c r="D245" s="231">
        <f>15+[2]!STEPLOAD(5)</f>
        <v>20</v>
      </c>
      <c r="E245" s="212">
        <f t="shared" si="21"/>
        <v>45.007358261063644</v>
      </c>
      <c r="F245" s="212">
        <f t="shared" si="22"/>
        <v>0.5</v>
      </c>
      <c r="G245" s="212">
        <f>5</f>
        <v>5</v>
      </c>
      <c r="H245" s="212">
        <f>60</f>
        <v>60</v>
      </c>
      <c r="I245" s="212">
        <f t="shared" si="23"/>
        <v>0.9</v>
      </c>
      <c r="J245" s="212">
        <f>1</f>
        <v>1</v>
      </c>
      <c r="K245" s="212">
        <f t="shared" si="24"/>
        <v>4.1870000000000003</v>
      </c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212"/>
      <c r="AA245" s="212"/>
      <c r="AB245" s="212"/>
      <c r="AC245" s="196"/>
      <c r="AD245" s="27"/>
      <c r="AE245" s="213"/>
      <c r="AF245" s="212">
        <f t="shared" si="25"/>
        <v>7.8676641053893714E-2</v>
      </c>
      <c r="AG245" s="212"/>
      <c r="AH245" s="212"/>
      <c r="AI245" s="212"/>
      <c r="AJ245" s="212"/>
      <c r="AK245" s="212"/>
      <c r="AL245" s="212"/>
      <c r="AM245" s="212"/>
      <c r="AN245" s="212"/>
      <c r="AO245" s="212"/>
      <c r="AP245" s="196"/>
      <c r="AQ245" s="196"/>
      <c r="AR245" s="211"/>
      <c r="AS245" s="212"/>
      <c r="AT245" s="212"/>
      <c r="AU245" s="212"/>
      <c r="AW245" s="58"/>
      <c r="AX245" s="58"/>
      <c r="AY245" s="58"/>
      <c r="AZ245" s="58"/>
    </row>
    <row r="246" spans="1:52" s="185" customFormat="1" ht="15" customHeight="1" x14ac:dyDescent="0.25">
      <c r="A246" s="200"/>
      <c r="B246" s="211"/>
      <c r="C246" s="212">
        <f t="shared" si="20"/>
        <v>23.500000000000064</v>
      </c>
      <c r="D246" s="231">
        <f>15+[2]!STEPLOAD(5)</f>
        <v>20</v>
      </c>
      <c r="E246" s="212">
        <f t="shared" si="21"/>
        <v>45.015225925169034</v>
      </c>
      <c r="F246" s="212">
        <f t="shared" si="22"/>
        <v>0.5</v>
      </c>
      <c r="G246" s="212">
        <f>5</f>
        <v>5</v>
      </c>
      <c r="H246" s="212">
        <f>60</f>
        <v>60</v>
      </c>
      <c r="I246" s="212">
        <f t="shared" si="23"/>
        <v>0.9</v>
      </c>
      <c r="J246" s="212">
        <f>1</f>
        <v>1</v>
      </c>
      <c r="K246" s="212">
        <f t="shared" si="24"/>
        <v>4.1870000000000003</v>
      </c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212"/>
      <c r="AA246" s="212"/>
      <c r="AB246" s="212"/>
      <c r="AC246" s="196"/>
      <c r="AD246" s="27"/>
      <c r="AE246" s="213"/>
      <c r="AF246" s="212">
        <f t="shared" si="25"/>
        <v>7.7889874643354506E-2</v>
      </c>
      <c r="AG246" s="212"/>
      <c r="AH246" s="212"/>
      <c r="AI246" s="212"/>
      <c r="AJ246" s="212"/>
      <c r="AK246" s="212"/>
      <c r="AL246" s="212"/>
      <c r="AM246" s="212"/>
      <c r="AN246" s="212"/>
      <c r="AO246" s="212"/>
      <c r="AP246" s="196"/>
      <c r="AQ246" s="196"/>
      <c r="AR246" s="211"/>
      <c r="AS246" s="212"/>
      <c r="AT246" s="212"/>
      <c r="AU246" s="212"/>
      <c r="AW246" s="58"/>
      <c r="AX246" s="58"/>
      <c r="AY246" s="58"/>
      <c r="AZ246" s="58"/>
    </row>
    <row r="247" spans="1:52" s="185" customFormat="1" ht="15" customHeight="1" x14ac:dyDescent="0.25">
      <c r="A247" s="200"/>
      <c r="B247" s="211"/>
      <c r="C247" s="212">
        <f t="shared" si="20"/>
        <v>23.600000000000065</v>
      </c>
      <c r="D247" s="231">
        <f>15+[2]!STEPLOAD(5)</f>
        <v>20</v>
      </c>
      <c r="E247" s="212">
        <f t="shared" si="21"/>
        <v>45.023014912633371</v>
      </c>
      <c r="F247" s="212">
        <f t="shared" si="22"/>
        <v>0.5</v>
      </c>
      <c r="G247" s="212">
        <f>5</f>
        <v>5</v>
      </c>
      <c r="H247" s="212">
        <f>60</f>
        <v>60</v>
      </c>
      <c r="I247" s="212">
        <f t="shared" si="23"/>
        <v>0.9</v>
      </c>
      <c r="J247" s="212">
        <f>1</f>
        <v>1</v>
      </c>
      <c r="K247" s="212">
        <f t="shared" si="24"/>
        <v>4.1870000000000003</v>
      </c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  <c r="AA247" s="212"/>
      <c r="AB247" s="212"/>
      <c r="AC247" s="196"/>
      <c r="AD247" s="27"/>
      <c r="AE247" s="213"/>
      <c r="AF247" s="212">
        <f t="shared" si="25"/>
        <v>7.7110975896920841E-2</v>
      </c>
      <c r="AG247" s="212"/>
      <c r="AH247" s="212"/>
      <c r="AI247" s="212"/>
      <c r="AJ247" s="212"/>
      <c r="AK247" s="212"/>
      <c r="AL247" s="212"/>
      <c r="AM247" s="212"/>
      <c r="AN247" s="212"/>
      <c r="AO247" s="212"/>
      <c r="AP247" s="196"/>
      <c r="AQ247" s="196"/>
      <c r="AR247" s="211"/>
      <c r="AS247" s="212"/>
      <c r="AT247" s="212"/>
      <c r="AU247" s="212"/>
      <c r="AW247" s="58"/>
      <c r="AX247" s="58"/>
      <c r="AY247" s="58"/>
      <c r="AZ247" s="58"/>
    </row>
    <row r="248" spans="1:52" s="185" customFormat="1" ht="15" customHeight="1" x14ac:dyDescent="0.25">
      <c r="A248" s="200"/>
      <c r="B248" s="211"/>
      <c r="C248" s="212">
        <f t="shared" si="20"/>
        <v>23.700000000000067</v>
      </c>
      <c r="D248" s="231">
        <f>15+[2]!STEPLOAD(5)</f>
        <v>20</v>
      </c>
      <c r="E248" s="212">
        <f t="shared" si="21"/>
        <v>45.030726010223063</v>
      </c>
      <c r="F248" s="212">
        <f t="shared" si="22"/>
        <v>0.5</v>
      </c>
      <c r="G248" s="212">
        <f>5</f>
        <v>5</v>
      </c>
      <c r="H248" s="212">
        <f>60</f>
        <v>60</v>
      </c>
      <c r="I248" s="212">
        <f t="shared" si="23"/>
        <v>0.9</v>
      </c>
      <c r="J248" s="212">
        <f>1</f>
        <v>1</v>
      </c>
      <c r="K248" s="212">
        <f t="shared" si="24"/>
        <v>4.1870000000000003</v>
      </c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212"/>
      <c r="AA248" s="212"/>
      <c r="AB248" s="212"/>
      <c r="AC248" s="196"/>
      <c r="AD248" s="27"/>
      <c r="AE248" s="213"/>
      <c r="AF248" s="212">
        <f t="shared" si="25"/>
        <v>7.6339866137951518E-2</v>
      </c>
      <c r="AG248" s="212"/>
      <c r="AH248" s="212"/>
      <c r="AI248" s="212"/>
      <c r="AJ248" s="212"/>
      <c r="AK248" s="212"/>
      <c r="AL248" s="212"/>
      <c r="AM248" s="212"/>
      <c r="AN248" s="212"/>
      <c r="AO248" s="212"/>
      <c r="AP248" s="196"/>
      <c r="AQ248" s="196"/>
      <c r="AR248" s="211"/>
      <c r="AS248" s="212"/>
      <c r="AT248" s="212"/>
      <c r="AU248" s="212"/>
      <c r="AW248" s="58"/>
      <c r="AX248" s="58"/>
      <c r="AY248" s="58"/>
      <c r="AZ248" s="58"/>
    </row>
    <row r="249" spans="1:52" s="185" customFormat="1" ht="15" customHeight="1" x14ac:dyDescent="0.25">
      <c r="A249" s="200"/>
      <c r="B249" s="211"/>
      <c r="C249" s="212">
        <f t="shared" si="20"/>
        <v>23.800000000000068</v>
      </c>
      <c r="D249" s="231">
        <f>15+[2]!STEPLOAD(5)</f>
        <v>20</v>
      </c>
      <c r="E249" s="212">
        <f t="shared" si="21"/>
        <v>45.03835999683686</v>
      </c>
      <c r="F249" s="212">
        <f t="shared" si="22"/>
        <v>0.5</v>
      </c>
      <c r="G249" s="212">
        <f>5</f>
        <v>5</v>
      </c>
      <c r="H249" s="212">
        <f>60</f>
        <v>60</v>
      </c>
      <c r="I249" s="212">
        <f t="shared" si="23"/>
        <v>0.9</v>
      </c>
      <c r="J249" s="212">
        <f>1</f>
        <v>1</v>
      </c>
      <c r="K249" s="212">
        <f t="shared" si="24"/>
        <v>4.1870000000000003</v>
      </c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212"/>
      <c r="AA249" s="212"/>
      <c r="AB249" s="212"/>
      <c r="AC249" s="196"/>
      <c r="AD249" s="27"/>
      <c r="AE249" s="213"/>
      <c r="AF249" s="212">
        <f t="shared" si="25"/>
        <v>7.5576467476571985E-2</v>
      </c>
      <c r="AG249" s="212"/>
      <c r="AH249" s="212"/>
      <c r="AI249" s="212"/>
      <c r="AJ249" s="212"/>
      <c r="AK249" s="212"/>
      <c r="AL249" s="212"/>
      <c r="AM249" s="212"/>
      <c r="AN249" s="212"/>
      <c r="AO249" s="212"/>
      <c r="AP249" s="196"/>
      <c r="AQ249" s="196"/>
      <c r="AR249" s="211"/>
      <c r="AS249" s="212"/>
      <c r="AT249" s="212"/>
      <c r="AU249" s="212"/>
      <c r="AW249" s="58"/>
      <c r="AX249" s="58"/>
      <c r="AY249" s="58"/>
      <c r="AZ249" s="58"/>
    </row>
    <row r="250" spans="1:52" s="185" customFormat="1" ht="15" customHeight="1" x14ac:dyDescent="0.25">
      <c r="A250" s="200"/>
      <c r="B250" s="211"/>
      <c r="C250" s="212">
        <f t="shared" si="20"/>
        <v>23.90000000000007</v>
      </c>
      <c r="D250" s="231">
        <f>15+[2]!STEPLOAD(5)</f>
        <v>20</v>
      </c>
      <c r="E250" s="212">
        <f t="shared" si="21"/>
        <v>45.045917643584517</v>
      </c>
      <c r="F250" s="212">
        <f t="shared" si="22"/>
        <v>0.5</v>
      </c>
      <c r="G250" s="212">
        <f>5</f>
        <v>5</v>
      </c>
      <c r="H250" s="212">
        <f>60</f>
        <v>60</v>
      </c>
      <c r="I250" s="212">
        <f t="shared" si="23"/>
        <v>0.9</v>
      </c>
      <c r="J250" s="212">
        <f>1</f>
        <v>1</v>
      </c>
      <c r="K250" s="212">
        <f t="shared" si="24"/>
        <v>4.1870000000000003</v>
      </c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  <c r="AA250" s="212"/>
      <c r="AB250" s="212"/>
      <c r="AC250" s="196"/>
      <c r="AD250" s="27"/>
      <c r="AE250" s="213"/>
      <c r="AF250" s="212">
        <f t="shared" si="25"/>
        <v>7.4820702801806416E-2</v>
      </c>
      <c r="AG250" s="212"/>
      <c r="AH250" s="212"/>
      <c r="AI250" s="212"/>
      <c r="AJ250" s="212"/>
      <c r="AK250" s="212"/>
      <c r="AL250" s="212"/>
      <c r="AM250" s="212"/>
      <c r="AN250" s="212"/>
      <c r="AO250" s="212"/>
      <c r="AP250" s="196"/>
      <c r="AQ250" s="196"/>
      <c r="AR250" s="211"/>
      <c r="AS250" s="212"/>
      <c r="AT250" s="212"/>
      <c r="AU250" s="212"/>
      <c r="AW250" s="58"/>
      <c r="AX250" s="58"/>
      <c r="AY250" s="58"/>
      <c r="AZ250" s="58"/>
    </row>
    <row r="251" spans="1:52" s="185" customFormat="1" ht="15" customHeight="1" x14ac:dyDescent="0.25">
      <c r="A251" s="200"/>
      <c r="B251" s="211"/>
      <c r="C251" s="212">
        <f t="shared" si="20"/>
        <v>24.000000000000071</v>
      </c>
      <c r="D251" s="231">
        <f>15+[2]!STEPLOAD(5)</f>
        <v>20</v>
      </c>
      <c r="E251" s="212">
        <f t="shared" si="21"/>
        <v>45.0533997138647</v>
      </c>
      <c r="F251" s="212">
        <f t="shared" si="22"/>
        <v>0.5</v>
      </c>
      <c r="G251" s="212">
        <f>5</f>
        <v>5</v>
      </c>
      <c r="H251" s="212">
        <f>60</f>
        <v>60</v>
      </c>
      <c r="I251" s="212">
        <f t="shared" si="23"/>
        <v>0.9</v>
      </c>
      <c r="J251" s="212">
        <f>1</f>
        <v>1</v>
      </c>
      <c r="K251" s="212">
        <f t="shared" si="24"/>
        <v>4.1870000000000003</v>
      </c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212"/>
      <c r="AA251" s="212"/>
      <c r="AB251" s="212"/>
      <c r="AC251" s="196"/>
      <c r="AD251" s="27"/>
      <c r="AE251" s="213"/>
      <c r="AF251" s="212">
        <f t="shared" si="25"/>
        <v>7.4072495773787939E-2</v>
      </c>
      <c r="AG251" s="212"/>
      <c r="AH251" s="212"/>
      <c r="AI251" s="212"/>
      <c r="AJ251" s="212"/>
      <c r="AK251" s="212"/>
      <c r="AL251" s="212"/>
      <c r="AM251" s="212"/>
      <c r="AN251" s="212"/>
      <c r="AO251" s="212"/>
      <c r="AP251" s="196"/>
      <c r="AQ251" s="196"/>
      <c r="AR251" s="211"/>
      <c r="AS251" s="212"/>
      <c r="AT251" s="212"/>
      <c r="AU251" s="212"/>
      <c r="AW251" s="58"/>
      <c r="AX251" s="58"/>
      <c r="AY251" s="58"/>
      <c r="AZ251" s="58"/>
    </row>
    <row r="252" spans="1:52" s="185" customFormat="1" ht="15" customHeight="1" x14ac:dyDescent="0.25">
      <c r="A252" s="200"/>
      <c r="B252" s="211"/>
      <c r="C252" s="212">
        <f t="shared" si="20"/>
        <v>24.100000000000072</v>
      </c>
      <c r="D252" s="231">
        <f>15+[2]!STEPLOAD(5)</f>
        <v>20</v>
      </c>
      <c r="E252" s="212">
        <f t="shared" si="21"/>
        <v>45.060806963442076</v>
      </c>
      <c r="F252" s="212">
        <f t="shared" si="22"/>
        <v>0.5</v>
      </c>
      <c r="G252" s="212">
        <f>5</f>
        <v>5</v>
      </c>
      <c r="H252" s="212">
        <f>60</f>
        <v>60</v>
      </c>
      <c r="I252" s="212">
        <f t="shared" si="23"/>
        <v>0.9</v>
      </c>
      <c r="J252" s="212">
        <f>1</f>
        <v>1</v>
      </c>
      <c r="K252" s="212">
        <f t="shared" si="24"/>
        <v>4.1870000000000003</v>
      </c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12"/>
      <c r="Z252" s="212"/>
      <c r="AA252" s="212"/>
      <c r="AB252" s="212"/>
      <c r="AC252" s="196"/>
      <c r="AD252" s="27"/>
      <c r="AE252" s="213"/>
      <c r="AF252" s="212">
        <f t="shared" si="25"/>
        <v>7.3331770816050135E-2</v>
      </c>
      <c r="AG252" s="212"/>
      <c r="AH252" s="212"/>
      <c r="AI252" s="212"/>
      <c r="AJ252" s="212"/>
      <c r="AK252" s="212"/>
      <c r="AL252" s="212"/>
      <c r="AM252" s="212"/>
      <c r="AN252" s="212"/>
      <c r="AO252" s="212"/>
      <c r="AP252" s="196"/>
      <c r="AQ252" s="196"/>
      <c r="AR252" s="211"/>
      <c r="AS252" s="212"/>
      <c r="AT252" s="212"/>
      <c r="AU252" s="212"/>
      <c r="AW252" s="58"/>
      <c r="AX252" s="58"/>
      <c r="AY252" s="58"/>
      <c r="AZ252" s="58"/>
    </row>
    <row r="253" spans="1:52" s="185" customFormat="1" ht="15" customHeight="1" x14ac:dyDescent="0.25">
      <c r="A253" s="200"/>
      <c r="B253" s="211"/>
      <c r="C253" s="212">
        <f t="shared" si="20"/>
        <v>24.200000000000074</v>
      </c>
      <c r="D253" s="231">
        <f>15+[2]!STEPLOAD(5)</f>
        <v>20</v>
      </c>
      <c r="E253" s="212">
        <f t="shared" si="21"/>
        <v>45.068140140523681</v>
      </c>
      <c r="F253" s="212">
        <f t="shared" si="22"/>
        <v>0.5</v>
      </c>
      <c r="G253" s="212">
        <f>5</f>
        <v>5</v>
      </c>
      <c r="H253" s="212">
        <f>60</f>
        <v>60</v>
      </c>
      <c r="I253" s="212">
        <f t="shared" si="23"/>
        <v>0.9</v>
      </c>
      <c r="J253" s="212">
        <f>1</f>
        <v>1</v>
      </c>
      <c r="K253" s="212">
        <f t="shared" si="24"/>
        <v>4.1870000000000003</v>
      </c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  <c r="AA253" s="212"/>
      <c r="AB253" s="212"/>
      <c r="AC253" s="196"/>
      <c r="AD253" s="27"/>
      <c r="AE253" s="213"/>
      <c r="AF253" s="212">
        <f t="shared" si="25"/>
        <v>7.2598453107889593E-2</v>
      </c>
      <c r="AG253" s="212"/>
      <c r="AH253" s="212"/>
      <c r="AI253" s="212"/>
      <c r="AJ253" s="212"/>
      <c r="AK253" s="212"/>
      <c r="AL253" s="212"/>
      <c r="AM253" s="212"/>
      <c r="AN253" s="212"/>
      <c r="AO253" s="212"/>
      <c r="AP253" s="196"/>
      <c r="AQ253" s="196"/>
      <c r="AR253" s="211"/>
      <c r="AS253" s="212"/>
      <c r="AT253" s="212"/>
      <c r="AU253" s="212"/>
      <c r="AW253" s="58"/>
      <c r="AX253" s="58"/>
      <c r="AY253" s="58"/>
      <c r="AZ253" s="58"/>
    </row>
    <row r="254" spans="1:52" s="185" customFormat="1" ht="15" customHeight="1" x14ac:dyDescent="0.25">
      <c r="A254" s="200"/>
      <c r="B254" s="211"/>
      <c r="C254" s="212">
        <f t="shared" si="20"/>
        <v>24.300000000000075</v>
      </c>
      <c r="D254" s="231">
        <f>15+[2]!STEPLOAD(5)</f>
        <v>20</v>
      </c>
      <c r="E254" s="212">
        <f t="shared" si="21"/>
        <v>45.075399985834473</v>
      </c>
      <c r="F254" s="212">
        <f t="shared" si="22"/>
        <v>0.5</v>
      </c>
      <c r="G254" s="212">
        <f>5</f>
        <v>5</v>
      </c>
      <c r="H254" s="212">
        <f>60</f>
        <v>60</v>
      </c>
      <c r="I254" s="212">
        <f t="shared" si="23"/>
        <v>0.9</v>
      </c>
      <c r="J254" s="212">
        <f>1</f>
        <v>1</v>
      </c>
      <c r="K254" s="212">
        <f t="shared" si="24"/>
        <v>4.1870000000000003</v>
      </c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212"/>
      <c r="AA254" s="212"/>
      <c r="AB254" s="212"/>
      <c r="AC254" s="196"/>
      <c r="AD254" s="27"/>
      <c r="AE254" s="213"/>
      <c r="AF254" s="212">
        <f t="shared" si="25"/>
        <v>7.1872468576810622E-2</v>
      </c>
      <c r="AG254" s="212"/>
      <c r="AH254" s="212"/>
      <c r="AI254" s="212"/>
      <c r="AJ254" s="212"/>
      <c r="AK254" s="212"/>
      <c r="AL254" s="212"/>
      <c r="AM254" s="212"/>
      <c r="AN254" s="212"/>
      <c r="AO254" s="212"/>
      <c r="AP254" s="196"/>
      <c r="AQ254" s="196"/>
      <c r="AR254" s="211"/>
      <c r="AS254" s="212"/>
      <c r="AT254" s="212"/>
      <c r="AU254" s="212"/>
      <c r="AW254" s="58"/>
      <c r="AX254" s="58"/>
      <c r="AY254" s="58"/>
      <c r="AZ254" s="58"/>
    </row>
    <row r="255" spans="1:52" s="185" customFormat="1" ht="15" customHeight="1" x14ac:dyDescent="0.25">
      <c r="A255" s="200"/>
      <c r="B255" s="211"/>
      <c r="C255" s="212">
        <f t="shared" si="20"/>
        <v>24.400000000000077</v>
      </c>
      <c r="D255" s="231">
        <f>15+[2]!STEPLOAD(5)</f>
        <v>20</v>
      </c>
      <c r="E255" s="212">
        <f t="shared" si="21"/>
        <v>45.082587232692156</v>
      </c>
      <c r="F255" s="212">
        <f t="shared" si="22"/>
        <v>0.5</v>
      </c>
      <c r="G255" s="212">
        <f>5</f>
        <v>5</v>
      </c>
      <c r="H255" s="212">
        <f>60</f>
        <v>60</v>
      </c>
      <c r="I255" s="212">
        <f t="shared" si="23"/>
        <v>0.9</v>
      </c>
      <c r="J255" s="212">
        <f>1</f>
        <v>1</v>
      </c>
      <c r="K255" s="212">
        <f t="shared" si="24"/>
        <v>4.1870000000000003</v>
      </c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212"/>
      <c r="AA255" s="212"/>
      <c r="AB255" s="212"/>
      <c r="AC255" s="196"/>
      <c r="AD255" s="27"/>
      <c r="AE255" s="213"/>
      <c r="AF255" s="212">
        <f t="shared" si="25"/>
        <v>7.1153743891042343E-2</v>
      </c>
      <c r="AG255" s="212"/>
      <c r="AH255" s="212"/>
      <c r="AI255" s="212"/>
      <c r="AJ255" s="212"/>
      <c r="AK255" s="212"/>
      <c r="AL255" s="212"/>
      <c r="AM255" s="212"/>
      <c r="AN255" s="212"/>
      <c r="AO255" s="212"/>
      <c r="AP255" s="196"/>
      <c r="AQ255" s="196"/>
      <c r="AR255" s="211"/>
      <c r="AS255" s="212"/>
      <c r="AT255" s="212"/>
      <c r="AU255" s="212"/>
      <c r="AW255" s="58"/>
      <c r="AX255" s="58"/>
      <c r="AY255" s="58"/>
      <c r="AZ255" s="58"/>
    </row>
    <row r="256" spans="1:52" s="185" customFormat="1" ht="15" customHeight="1" x14ac:dyDescent="0.25">
      <c r="A256" s="200"/>
      <c r="B256" s="211"/>
      <c r="C256" s="212">
        <f t="shared" si="20"/>
        <v>24.500000000000078</v>
      </c>
      <c r="D256" s="231">
        <f>15+[2]!STEPLOAD(5)</f>
        <v>20</v>
      </c>
      <c r="E256" s="212">
        <f t="shared" si="21"/>
        <v>45.089702607081257</v>
      </c>
      <c r="F256" s="212">
        <f t="shared" si="22"/>
        <v>0.5</v>
      </c>
      <c r="G256" s="212">
        <f>5</f>
        <v>5</v>
      </c>
      <c r="H256" s="212">
        <f>60</f>
        <v>60</v>
      </c>
      <c r="I256" s="212">
        <f t="shared" si="23"/>
        <v>0.9</v>
      </c>
      <c r="J256" s="212">
        <f>1</f>
        <v>1</v>
      </c>
      <c r="K256" s="212">
        <f t="shared" si="24"/>
        <v>4.1870000000000003</v>
      </c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212"/>
      <c r="Y256" s="212"/>
      <c r="Z256" s="212"/>
      <c r="AA256" s="212"/>
      <c r="AB256" s="212"/>
      <c r="AC256" s="196"/>
      <c r="AD256" s="27"/>
      <c r="AE256" s="213"/>
      <c r="AF256" s="212">
        <f t="shared" si="25"/>
        <v>7.0442206452132172E-2</v>
      </c>
      <c r="AG256" s="212"/>
      <c r="AH256" s="212"/>
      <c r="AI256" s="212"/>
      <c r="AJ256" s="212"/>
      <c r="AK256" s="212"/>
      <c r="AL256" s="212"/>
      <c r="AM256" s="212"/>
      <c r="AN256" s="212"/>
      <c r="AO256" s="212"/>
      <c r="AP256" s="196"/>
      <c r="AQ256" s="196"/>
      <c r="AR256" s="211"/>
      <c r="AS256" s="212"/>
      <c r="AT256" s="212"/>
      <c r="AU256" s="212"/>
      <c r="AW256" s="58"/>
      <c r="AX256" s="58"/>
      <c r="AY256" s="58"/>
      <c r="AZ256" s="58"/>
    </row>
    <row r="257" spans="1:52" s="185" customFormat="1" ht="15" customHeight="1" x14ac:dyDescent="0.25">
      <c r="A257" s="200"/>
      <c r="B257" s="211"/>
      <c r="C257" s="212">
        <f t="shared" si="20"/>
        <v>24.60000000000008</v>
      </c>
      <c r="D257" s="231">
        <f>15+[2]!STEPLOAD(5)</f>
        <v>20</v>
      </c>
      <c r="E257" s="212">
        <f t="shared" si="21"/>
        <v>45.09674682772647</v>
      </c>
      <c r="F257" s="212">
        <f t="shared" si="22"/>
        <v>0.5</v>
      </c>
      <c r="G257" s="212">
        <f>5</f>
        <v>5</v>
      </c>
      <c r="H257" s="212">
        <f>60</f>
        <v>60</v>
      </c>
      <c r="I257" s="212">
        <f t="shared" si="23"/>
        <v>0.9</v>
      </c>
      <c r="J257" s="212">
        <f>1</f>
        <v>1</v>
      </c>
      <c r="K257" s="212">
        <f t="shared" si="24"/>
        <v>4.1870000000000003</v>
      </c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212"/>
      <c r="Y257" s="212"/>
      <c r="Z257" s="212"/>
      <c r="AA257" s="212"/>
      <c r="AB257" s="212"/>
      <c r="AC257" s="196"/>
      <c r="AD257" s="27"/>
      <c r="AE257" s="213"/>
      <c r="AF257" s="212">
        <f t="shared" si="25"/>
        <v>6.9737784387610802E-2</v>
      </c>
      <c r="AG257" s="212"/>
      <c r="AH257" s="212"/>
      <c r="AI257" s="212"/>
      <c r="AJ257" s="212"/>
      <c r="AK257" s="212"/>
      <c r="AL257" s="212"/>
      <c r="AM257" s="212"/>
      <c r="AN257" s="212"/>
      <c r="AO257" s="212"/>
      <c r="AP257" s="196"/>
      <c r="AQ257" s="196"/>
      <c r="AR257" s="211"/>
      <c r="AS257" s="212"/>
      <c r="AT257" s="212"/>
      <c r="AU257" s="212"/>
      <c r="AW257" s="58"/>
      <c r="AX257" s="58"/>
      <c r="AY257" s="58"/>
      <c r="AZ257" s="58"/>
    </row>
    <row r="258" spans="1:52" s="185" customFormat="1" ht="15" customHeight="1" x14ac:dyDescent="0.25">
      <c r="A258" s="200"/>
      <c r="B258" s="211"/>
      <c r="C258" s="212">
        <f t="shared" si="20"/>
        <v>24.700000000000081</v>
      </c>
      <c r="D258" s="231">
        <f>15+[2]!STEPLOAD(5)</f>
        <v>20</v>
      </c>
      <c r="E258" s="212">
        <f t="shared" si="21"/>
        <v>45.103720606165233</v>
      </c>
      <c r="F258" s="212">
        <f t="shared" si="22"/>
        <v>0.5</v>
      </c>
      <c r="G258" s="212">
        <f>5</f>
        <v>5</v>
      </c>
      <c r="H258" s="212">
        <f>60</f>
        <v>60</v>
      </c>
      <c r="I258" s="212">
        <f t="shared" si="23"/>
        <v>0.9</v>
      </c>
      <c r="J258" s="212">
        <f>1</f>
        <v>1</v>
      </c>
      <c r="K258" s="212">
        <f t="shared" si="24"/>
        <v>4.1870000000000003</v>
      </c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212"/>
      <c r="Y258" s="212"/>
      <c r="Z258" s="212"/>
      <c r="AA258" s="212"/>
      <c r="AB258" s="212"/>
      <c r="AC258" s="196"/>
      <c r="AD258" s="27"/>
      <c r="AE258" s="213"/>
      <c r="AF258" s="212">
        <f t="shared" si="25"/>
        <v>6.9040406543734445E-2</v>
      </c>
      <c r="AG258" s="212"/>
      <c r="AH258" s="212"/>
      <c r="AI258" s="212"/>
      <c r="AJ258" s="212"/>
      <c r="AK258" s="212"/>
      <c r="AL258" s="212"/>
      <c r="AM258" s="212"/>
      <c r="AN258" s="212"/>
      <c r="AO258" s="212"/>
      <c r="AP258" s="196"/>
      <c r="AQ258" s="196"/>
      <c r="AR258" s="211"/>
      <c r="AS258" s="212"/>
      <c r="AT258" s="212"/>
      <c r="AU258" s="212"/>
      <c r="AW258" s="58"/>
      <c r="AX258" s="58"/>
      <c r="AY258" s="58"/>
      <c r="AZ258" s="58"/>
    </row>
    <row r="259" spans="1:52" s="185" customFormat="1" ht="15" customHeight="1" x14ac:dyDescent="0.25">
      <c r="A259" s="200"/>
      <c r="B259" s="211"/>
      <c r="C259" s="212">
        <f t="shared" si="20"/>
        <v>24.800000000000082</v>
      </c>
      <c r="D259" s="231">
        <f>15+[2]!STEPLOAD(5)</f>
        <v>20</v>
      </c>
      <c r="E259" s="212">
        <f t="shared" si="21"/>
        <v>45.110624646819609</v>
      </c>
      <c r="F259" s="212">
        <f t="shared" si="22"/>
        <v>0.5</v>
      </c>
      <c r="G259" s="212">
        <f>5</f>
        <v>5</v>
      </c>
      <c r="H259" s="212">
        <f>60</f>
        <v>60</v>
      </c>
      <c r="I259" s="212">
        <f t="shared" si="23"/>
        <v>0.9</v>
      </c>
      <c r="J259" s="212">
        <f>1</f>
        <v>1</v>
      </c>
      <c r="K259" s="212">
        <f t="shared" si="24"/>
        <v>4.1870000000000003</v>
      </c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  <c r="AA259" s="212"/>
      <c r="AB259" s="212"/>
      <c r="AC259" s="196"/>
      <c r="AD259" s="27"/>
      <c r="AE259" s="213"/>
      <c r="AF259" s="212">
        <f t="shared" si="25"/>
        <v>6.8350002478296812E-2</v>
      </c>
      <c r="AG259" s="212"/>
      <c r="AH259" s="212"/>
      <c r="AI259" s="212"/>
      <c r="AJ259" s="212"/>
      <c r="AK259" s="212"/>
      <c r="AL259" s="212"/>
      <c r="AM259" s="212"/>
      <c r="AN259" s="212"/>
      <c r="AO259" s="212"/>
      <c r="AP259" s="196"/>
      <c r="AQ259" s="196"/>
      <c r="AR259" s="211"/>
      <c r="AS259" s="212"/>
      <c r="AT259" s="212"/>
      <c r="AU259" s="212"/>
      <c r="AW259" s="58"/>
      <c r="AX259" s="58"/>
      <c r="AY259" s="58"/>
      <c r="AZ259" s="58"/>
    </row>
    <row r="260" spans="1:52" s="185" customFormat="1" ht="15" customHeight="1" x14ac:dyDescent="0.25">
      <c r="A260" s="200"/>
      <c r="B260" s="211"/>
      <c r="C260" s="212">
        <f t="shared" si="20"/>
        <v>24.900000000000084</v>
      </c>
      <c r="D260" s="231">
        <f>15+[2]!STEPLOAD(5)</f>
        <v>20</v>
      </c>
      <c r="E260" s="212">
        <f t="shared" si="21"/>
        <v>45.117459647067442</v>
      </c>
      <c r="F260" s="212">
        <f t="shared" si="22"/>
        <v>0.5</v>
      </c>
      <c r="G260" s="212">
        <f>5</f>
        <v>5</v>
      </c>
      <c r="H260" s="212">
        <f>60</f>
        <v>60</v>
      </c>
      <c r="I260" s="212">
        <f t="shared" si="23"/>
        <v>0.9</v>
      </c>
      <c r="J260" s="212">
        <f>1</f>
        <v>1</v>
      </c>
      <c r="K260" s="212">
        <f t="shared" si="24"/>
        <v>4.1870000000000003</v>
      </c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  <c r="AA260" s="212"/>
      <c r="AB260" s="212"/>
      <c r="AC260" s="196"/>
      <c r="AD260" s="27"/>
      <c r="AE260" s="213"/>
      <c r="AF260" s="212">
        <f t="shared" si="25"/>
        <v>6.766650245351391E-2</v>
      </c>
      <c r="AG260" s="212"/>
      <c r="AH260" s="212"/>
      <c r="AI260" s="212"/>
      <c r="AJ260" s="212"/>
      <c r="AK260" s="212"/>
      <c r="AL260" s="212"/>
      <c r="AM260" s="212"/>
      <c r="AN260" s="212"/>
      <c r="AO260" s="212"/>
      <c r="AP260" s="196"/>
      <c r="AQ260" s="196"/>
      <c r="AR260" s="211"/>
      <c r="AS260" s="212"/>
      <c r="AT260" s="212"/>
      <c r="AU260" s="212"/>
      <c r="AW260" s="58"/>
      <c r="AX260" s="58"/>
      <c r="AY260" s="58"/>
      <c r="AZ260" s="58"/>
    </row>
    <row r="261" spans="1:52" s="185" customFormat="1" ht="15" customHeight="1" x14ac:dyDescent="0.25">
      <c r="A261" s="200"/>
      <c r="B261" s="211"/>
      <c r="C261" s="212">
        <f t="shared" si="20"/>
        <v>25.000000000000085</v>
      </c>
      <c r="D261" s="231">
        <f>15+[2]!STEPLOAD(5)</f>
        <v>20</v>
      </c>
      <c r="E261" s="212">
        <f t="shared" si="21"/>
        <v>45.124226297312795</v>
      </c>
      <c r="F261" s="212">
        <f t="shared" si="22"/>
        <v>0.5</v>
      </c>
      <c r="G261" s="212">
        <f>5</f>
        <v>5</v>
      </c>
      <c r="H261" s="212">
        <f>60</f>
        <v>60</v>
      </c>
      <c r="I261" s="212">
        <f t="shared" si="23"/>
        <v>0.9</v>
      </c>
      <c r="J261" s="212">
        <f>1</f>
        <v>1</v>
      </c>
      <c r="K261" s="212">
        <f t="shared" si="24"/>
        <v>4.1870000000000003</v>
      </c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212"/>
      <c r="Y261" s="212"/>
      <c r="Z261" s="212"/>
      <c r="AA261" s="212"/>
      <c r="AB261" s="212"/>
      <c r="AC261" s="196"/>
      <c r="AD261" s="27"/>
      <c r="AE261" s="213"/>
      <c r="AF261" s="212">
        <f t="shared" si="25"/>
        <v>6.6989837428978571E-2</v>
      </c>
      <c r="AG261" s="212"/>
      <c r="AH261" s="212"/>
      <c r="AI261" s="212"/>
      <c r="AJ261" s="212"/>
      <c r="AK261" s="212"/>
      <c r="AL261" s="212"/>
      <c r="AM261" s="212"/>
      <c r="AN261" s="212"/>
      <c r="AO261" s="212"/>
      <c r="AP261" s="196"/>
      <c r="AQ261" s="196"/>
      <c r="AR261" s="211"/>
      <c r="AS261" s="212"/>
      <c r="AT261" s="212"/>
      <c r="AU261" s="212"/>
      <c r="AW261" s="58"/>
      <c r="AX261" s="58"/>
      <c r="AY261" s="58"/>
      <c r="AZ261" s="58"/>
    </row>
    <row r="262" spans="1:52" s="185" customFormat="1" ht="15" customHeight="1" x14ac:dyDescent="0.25">
      <c r="A262" s="200"/>
      <c r="B262" s="211"/>
      <c r="C262" s="212">
        <f t="shared" si="20"/>
        <v>25.100000000000087</v>
      </c>
      <c r="D262" s="231">
        <f>15+[2]!STEPLOAD(5)</f>
        <v>20</v>
      </c>
      <c r="E262" s="212">
        <f t="shared" si="21"/>
        <v>45.130925281055696</v>
      </c>
      <c r="F262" s="212">
        <f t="shared" si="22"/>
        <v>0.5</v>
      </c>
      <c r="G262" s="212">
        <f>5</f>
        <v>5</v>
      </c>
      <c r="H262" s="212">
        <f>60</f>
        <v>60</v>
      </c>
      <c r="I262" s="212">
        <f t="shared" si="23"/>
        <v>0.9</v>
      </c>
      <c r="J262" s="212">
        <f>1</f>
        <v>1</v>
      </c>
      <c r="K262" s="212">
        <f t="shared" si="24"/>
        <v>4.1870000000000003</v>
      </c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  <c r="AA262" s="212"/>
      <c r="AB262" s="212"/>
      <c r="AC262" s="196"/>
      <c r="AD262" s="27"/>
      <c r="AE262" s="213"/>
      <c r="AF262" s="212">
        <f t="shared" si="25"/>
        <v>6.6319939054688248E-2</v>
      </c>
      <c r="AG262" s="212"/>
      <c r="AH262" s="212"/>
      <c r="AI262" s="212"/>
      <c r="AJ262" s="212"/>
      <c r="AK262" s="212"/>
      <c r="AL262" s="212"/>
      <c r="AM262" s="212"/>
      <c r="AN262" s="212"/>
      <c r="AO262" s="212"/>
      <c r="AP262" s="196"/>
      <c r="AQ262" s="196"/>
      <c r="AR262" s="211"/>
      <c r="AS262" s="212"/>
      <c r="AT262" s="212"/>
      <c r="AU262" s="212"/>
      <c r="AW262" s="58"/>
      <c r="AX262" s="58"/>
      <c r="AY262" s="58"/>
      <c r="AZ262" s="58"/>
    </row>
    <row r="263" spans="1:52" s="185" customFormat="1" ht="15" customHeight="1" x14ac:dyDescent="0.25">
      <c r="A263" s="200"/>
      <c r="B263" s="211"/>
      <c r="C263" s="212">
        <f t="shared" si="20"/>
        <v>25.200000000000088</v>
      </c>
      <c r="D263" s="231">
        <f>15+[2]!STEPLOAD(5)</f>
        <v>20</v>
      </c>
      <c r="E263" s="212">
        <f t="shared" si="21"/>
        <v>45.137557274961168</v>
      </c>
      <c r="F263" s="212">
        <f t="shared" si="22"/>
        <v>0.5</v>
      </c>
      <c r="G263" s="212">
        <f>5</f>
        <v>5</v>
      </c>
      <c r="H263" s="212">
        <f>60</f>
        <v>60</v>
      </c>
      <c r="I263" s="212">
        <f t="shared" si="23"/>
        <v>0.9</v>
      </c>
      <c r="J263" s="212">
        <f>1</f>
        <v>1</v>
      </c>
      <c r="K263" s="212">
        <f t="shared" si="24"/>
        <v>4.1870000000000003</v>
      </c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212"/>
      <c r="Y263" s="212"/>
      <c r="Z263" s="212"/>
      <c r="AA263" s="212"/>
      <c r="AB263" s="212"/>
      <c r="AC263" s="196"/>
      <c r="AD263" s="27"/>
      <c r="AE263" s="213"/>
      <c r="AF263" s="212">
        <f t="shared" si="25"/>
        <v>6.5656739664141206E-2</v>
      </c>
      <c r="AG263" s="212"/>
      <c r="AH263" s="212"/>
      <c r="AI263" s="212"/>
      <c r="AJ263" s="212"/>
      <c r="AK263" s="212"/>
      <c r="AL263" s="212"/>
      <c r="AM263" s="212"/>
      <c r="AN263" s="212"/>
      <c r="AO263" s="212"/>
      <c r="AP263" s="196"/>
      <c r="AQ263" s="196"/>
      <c r="AR263" s="211"/>
      <c r="AS263" s="212"/>
      <c r="AT263" s="212"/>
      <c r="AU263" s="212"/>
      <c r="AW263" s="58"/>
      <c r="AX263" s="58"/>
      <c r="AY263" s="58"/>
      <c r="AZ263" s="58"/>
    </row>
    <row r="264" spans="1:52" s="185" customFormat="1" ht="15" customHeight="1" x14ac:dyDescent="0.25">
      <c r="A264" s="200"/>
      <c r="B264" s="211"/>
      <c r="C264" s="212">
        <f t="shared" si="20"/>
        <v>25.30000000000009</v>
      </c>
      <c r="D264" s="231">
        <f>15+[2]!STEPLOAD(5)</f>
        <v>20</v>
      </c>
      <c r="E264" s="212">
        <f t="shared" si="21"/>
        <v>45.144122948927581</v>
      </c>
      <c r="F264" s="212">
        <f t="shared" si="22"/>
        <v>0.5</v>
      </c>
      <c r="G264" s="212">
        <f>5</f>
        <v>5</v>
      </c>
      <c r="H264" s="212">
        <f>60</f>
        <v>60</v>
      </c>
      <c r="I264" s="212">
        <f t="shared" si="23"/>
        <v>0.9</v>
      </c>
      <c r="J264" s="212">
        <f>1</f>
        <v>1</v>
      </c>
      <c r="K264" s="212">
        <f t="shared" si="24"/>
        <v>4.1870000000000003</v>
      </c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212"/>
      <c r="AA264" s="212"/>
      <c r="AB264" s="212"/>
      <c r="AC264" s="196"/>
      <c r="AD264" s="27"/>
      <c r="AE264" s="213"/>
      <c r="AF264" s="212">
        <f t="shared" si="25"/>
        <v>6.5000172267499767E-2</v>
      </c>
      <c r="AG264" s="212"/>
      <c r="AH264" s="212"/>
      <c r="AI264" s="212"/>
      <c r="AJ264" s="212"/>
      <c r="AK264" s="212"/>
      <c r="AL264" s="212"/>
      <c r="AM264" s="212"/>
      <c r="AN264" s="212"/>
      <c r="AO264" s="212"/>
      <c r="AP264" s="196"/>
      <c r="AQ264" s="196"/>
      <c r="AR264" s="211"/>
      <c r="AS264" s="212"/>
      <c r="AT264" s="212"/>
      <c r="AU264" s="212"/>
      <c r="AW264" s="58"/>
      <c r="AX264" s="58"/>
      <c r="AY264" s="58"/>
      <c r="AZ264" s="58"/>
    </row>
    <row r="265" spans="1:52" s="185" customFormat="1" ht="15" customHeight="1" x14ac:dyDescent="0.25">
      <c r="A265" s="200"/>
      <c r="B265" s="211"/>
      <c r="C265" s="212">
        <f t="shared" si="20"/>
        <v>25.400000000000091</v>
      </c>
      <c r="D265" s="231">
        <f>15+[2]!STEPLOAD(5)</f>
        <v>20</v>
      </c>
      <c r="E265" s="212">
        <f t="shared" si="21"/>
        <v>45.15062296615433</v>
      </c>
      <c r="F265" s="212">
        <f t="shared" si="22"/>
        <v>0.5</v>
      </c>
      <c r="G265" s="212">
        <f>5</f>
        <v>5</v>
      </c>
      <c r="H265" s="212">
        <f>60</f>
        <v>60</v>
      </c>
      <c r="I265" s="212">
        <f t="shared" si="23"/>
        <v>0.9</v>
      </c>
      <c r="J265" s="212">
        <f>1</f>
        <v>1</v>
      </c>
      <c r="K265" s="212">
        <f t="shared" si="24"/>
        <v>4.1870000000000003</v>
      </c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  <c r="AA265" s="212"/>
      <c r="AB265" s="212"/>
      <c r="AC265" s="196"/>
      <c r="AD265" s="27"/>
      <c r="AE265" s="213"/>
      <c r="AF265" s="212">
        <f t="shared" si="25"/>
        <v>6.4350170544825058E-2</v>
      </c>
      <c r="AG265" s="212"/>
      <c r="AH265" s="212"/>
      <c r="AI265" s="212"/>
      <c r="AJ265" s="212"/>
      <c r="AK265" s="212"/>
      <c r="AL265" s="212"/>
      <c r="AM265" s="212"/>
      <c r="AN265" s="212"/>
      <c r="AO265" s="212"/>
      <c r="AP265" s="196"/>
      <c r="AQ265" s="196"/>
      <c r="AR265" s="211"/>
      <c r="AS265" s="212"/>
      <c r="AT265" s="212"/>
      <c r="AU265" s="212"/>
      <c r="AW265" s="58"/>
      <c r="AX265" s="58"/>
      <c r="AY265" s="58"/>
      <c r="AZ265" s="58"/>
    </row>
    <row r="266" spans="1:52" s="185" customFormat="1" ht="15" customHeight="1" x14ac:dyDescent="0.25">
      <c r="A266" s="200"/>
      <c r="B266" s="211"/>
      <c r="C266" s="212">
        <f t="shared" si="20"/>
        <v>25.500000000000092</v>
      </c>
      <c r="D266" s="231">
        <f>15+[2]!STEPLOAD(5)</f>
        <v>20</v>
      </c>
      <c r="E266" s="212">
        <f t="shared" si="21"/>
        <v>45.157057983208816</v>
      </c>
      <c r="F266" s="212">
        <f t="shared" si="22"/>
        <v>0.5</v>
      </c>
      <c r="G266" s="212">
        <f>5</f>
        <v>5</v>
      </c>
      <c r="H266" s="212">
        <f>60</f>
        <v>60</v>
      </c>
      <c r="I266" s="212">
        <f t="shared" si="23"/>
        <v>0.9</v>
      </c>
      <c r="J266" s="212">
        <f>1</f>
        <v>1</v>
      </c>
      <c r="K266" s="212">
        <f t="shared" si="24"/>
        <v>4.1870000000000003</v>
      </c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212"/>
      <c r="Y266" s="212"/>
      <c r="Z266" s="212"/>
      <c r="AA266" s="212"/>
      <c r="AB266" s="212"/>
      <c r="AC266" s="196"/>
      <c r="AD266" s="27"/>
      <c r="AE266" s="213"/>
      <c r="AF266" s="212">
        <f t="shared" si="25"/>
        <v>6.3706668839376146E-2</v>
      </c>
      <c r="AG266" s="212"/>
      <c r="AH266" s="212"/>
      <c r="AI266" s="212"/>
      <c r="AJ266" s="212"/>
      <c r="AK266" s="212"/>
      <c r="AL266" s="212"/>
      <c r="AM266" s="212"/>
      <c r="AN266" s="212"/>
      <c r="AO266" s="212"/>
      <c r="AP266" s="196"/>
      <c r="AQ266" s="196"/>
      <c r="AR266" s="211"/>
      <c r="AS266" s="212"/>
      <c r="AT266" s="212"/>
      <c r="AU266" s="212"/>
      <c r="AW266" s="58"/>
      <c r="AX266" s="58"/>
      <c r="AY266" s="58"/>
      <c r="AZ266" s="58"/>
    </row>
    <row r="267" spans="1:52" s="185" customFormat="1" ht="15" customHeight="1" x14ac:dyDescent="0.25">
      <c r="A267" s="200"/>
      <c r="B267" s="211"/>
      <c r="C267" s="212">
        <f t="shared" si="20"/>
        <v>25.600000000000094</v>
      </c>
      <c r="D267" s="231">
        <f>15+[2]!STEPLOAD(5)</f>
        <v>20</v>
      </c>
      <c r="E267" s="212">
        <f t="shared" si="21"/>
        <v>45.163428650092754</v>
      </c>
      <c r="F267" s="212">
        <f t="shared" si="22"/>
        <v>0.5</v>
      </c>
      <c r="G267" s="212">
        <f>5</f>
        <v>5</v>
      </c>
      <c r="H267" s="212">
        <f>60</f>
        <v>60</v>
      </c>
      <c r="I267" s="212">
        <f t="shared" si="23"/>
        <v>0.9</v>
      </c>
      <c r="J267" s="212">
        <f>1</f>
        <v>1</v>
      </c>
      <c r="K267" s="212">
        <f t="shared" si="24"/>
        <v>4.1870000000000003</v>
      </c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212"/>
      <c r="Y267" s="212"/>
      <c r="Z267" s="212"/>
      <c r="AA267" s="212"/>
      <c r="AB267" s="212"/>
      <c r="AC267" s="196"/>
      <c r="AD267" s="27"/>
      <c r="AE267" s="213"/>
      <c r="AF267" s="212">
        <f t="shared" si="25"/>
        <v>6.3069602150982451E-2</v>
      </c>
      <c r="AG267" s="212"/>
      <c r="AH267" s="212"/>
      <c r="AI267" s="212"/>
      <c r="AJ267" s="212"/>
      <c r="AK267" s="212"/>
      <c r="AL267" s="212"/>
      <c r="AM267" s="212"/>
      <c r="AN267" s="212"/>
      <c r="AO267" s="212"/>
      <c r="AP267" s="196"/>
      <c r="AQ267" s="196"/>
      <c r="AR267" s="211"/>
      <c r="AS267" s="212"/>
      <c r="AT267" s="212"/>
      <c r="AU267" s="212"/>
      <c r="AW267" s="58"/>
      <c r="AX267" s="58"/>
      <c r="AY267" s="58"/>
      <c r="AZ267" s="58"/>
    </row>
    <row r="268" spans="1:52" s="185" customFormat="1" ht="15" customHeight="1" x14ac:dyDescent="0.25">
      <c r="A268" s="200"/>
      <c r="B268" s="211"/>
      <c r="C268" s="212">
        <f t="shared" ref="C268:C331" si="26">C267+IntegrationStep</f>
        <v>25.700000000000095</v>
      </c>
      <c r="D268" s="231">
        <f>15+[2]!STEPLOAD(5)</f>
        <v>20</v>
      </c>
      <c r="E268" s="212">
        <f t="shared" si="21"/>
        <v>45.169735610307853</v>
      </c>
      <c r="F268" s="212">
        <f t="shared" si="22"/>
        <v>0.5</v>
      </c>
      <c r="G268" s="212">
        <f>5</f>
        <v>5</v>
      </c>
      <c r="H268" s="212">
        <f>60</f>
        <v>60</v>
      </c>
      <c r="I268" s="212">
        <f t="shared" si="23"/>
        <v>0.9</v>
      </c>
      <c r="J268" s="212">
        <f>1</f>
        <v>1</v>
      </c>
      <c r="K268" s="212">
        <f t="shared" si="24"/>
        <v>4.1870000000000003</v>
      </c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212"/>
      <c r="Y268" s="212"/>
      <c r="Z268" s="212"/>
      <c r="AA268" s="212"/>
      <c r="AB268" s="212"/>
      <c r="AC268" s="196"/>
      <c r="AD268" s="27"/>
      <c r="AE268" s="213"/>
      <c r="AF268" s="212">
        <f t="shared" si="25"/>
        <v>6.243890612947256E-2</v>
      </c>
      <c r="AG268" s="212"/>
      <c r="AH268" s="212"/>
      <c r="AI268" s="212"/>
      <c r="AJ268" s="212"/>
      <c r="AK268" s="212"/>
      <c r="AL268" s="212"/>
      <c r="AM268" s="212"/>
      <c r="AN268" s="212"/>
      <c r="AO268" s="212"/>
      <c r="AP268" s="196"/>
      <c r="AQ268" s="196"/>
      <c r="AR268" s="211"/>
      <c r="AS268" s="212"/>
      <c r="AT268" s="212"/>
      <c r="AU268" s="212"/>
      <c r="AW268" s="58"/>
      <c r="AX268" s="58"/>
      <c r="AY268" s="58"/>
      <c r="AZ268" s="58"/>
    </row>
    <row r="269" spans="1:52" s="185" customFormat="1" ht="15" customHeight="1" x14ac:dyDescent="0.25">
      <c r="A269" s="200"/>
      <c r="B269" s="211"/>
      <c r="C269" s="212">
        <f t="shared" si="26"/>
        <v>25.800000000000097</v>
      </c>
      <c r="D269" s="231">
        <f>15+[2]!STEPLOAD(5)</f>
        <v>20</v>
      </c>
      <c r="E269" s="212">
        <f t="shared" ref="E269:E332" si="27">E268+(C269-C268)*AF268</f>
        <v>45.175979500920803</v>
      </c>
      <c r="F269" s="212">
        <f t="shared" ref="F269:F332" si="28">0.5</f>
        <v>0.5</v>
      </c>
      <c r="G269" s="212">
        <f>5</f>
        <v>5</v>
      </c>
      <c r="H269" s="212">
        <f>60</f>
        <v>60</v>
      </c>
      <c r="I269" s="212">
        <f t="shared" ref="I269:I332" si="29">0.9</f>
        <v>0.9</v>
      </c>
      <c r="J269" s="212">
        <f>1</f>
        <v>1</v>
      </c>
      <c r="K269" s="212">
        <f t="shared" ref="K269:K332" si="30">4.187</f>
        <v>4.1870000000000003</v>
      </c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196"/>
      <c r="AD269" s="27"/>
      <c r="AE269" s="213"/>
      <c r="AF269" s="212">
        <f t="shared" ref="AF269:AF332" si="31">F269/G269*(D269-E269)+H269*I269/G269/J269/K269</f>
        <v>6.1814517068177643E-2</v>
      </c>
      <c r="AG269" s="212"/>
      <c r="AH269" s="212"/>
      <c r="AI269" s="212"/>
      <c r="AJ269" s="212"/>
      <c r="AK269" s="212"/>
      <c r="AL269" s="212"/>
      <c r="AM269" s="212"/>
      <c r="AN269" s="212"/>
      <c r="AO269" s="212"/>
      <c r="AP269" s="196"/>
      <c r="AQ269" s="196"/>
      <c r="AR269" s="211"/>
      <c r="AS269" s="212"/>
      <c r="AT269" s="212"/>
      <c r="AU269" s="212"/>
      <c r="AW269" s="58"/>
      <c r="AX269" s="58"/>
      <c r="AY269" s="58"/>
      <c r="AZ269" s="58"/>
    </row>
    <row r="270" spans="1:52" s="185" customFormat="1" ht="15" customHeight="1" x14ac:dyDescent="0.25">
      <c r="A270" s="200"/>
      <c r="B270" s="211"/>
      <c r="C270" s="212">
        <f t="shared" si="26"/>
        <v>25.900000000000098</v>
      </c>
      <c r="D270" s="231">
        <f>15+[2]!STEPLOAD(5)</f>
        <v>20</v>
      </c>
      <c r="E270" s="212">
        <f t="shared" si="27"/>
        <v>45.182160952627619</v>
      </c>
      <c r="F270" s="212">
        <f t="shared" si="28"/>
        <v>0.5</v>
      </c>
      <c r="G270" s="212">
        <f>5</f>
        <v>5</v>
      </c>
      <c r="H270" s="212">
        <f>60</f>
        <v>60</v>
      </c>
      <c r="I270" s="212">
        <f t="shared" si="29"/>
        <v>0.9</v>
      </c>
      <c r="J270" s="212">
        <f>1</f>
        <v>1</v>
      </c>
      <c r="K270" s="212">
        <f t="shared" si="30"/>
        <v>4.1870000000000003</v>
      </c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  <c r="AA270" s="212"/>
      <c r="AB270" s="212"/>
      <c r="AC270" s="196"/>
      <c r="AD270" s="27"/>
      <c r="AE270" s="213"/>
      <c r="AF270" s="212">
        <f t="shared" si="31"/>
        <v>6.119637189749616E-2</v>
      </c>
      <c r="AG270" s="212"/>
      <c r="AH270" s="212"/>
      <c r="AI270" s="212"/>
      <c r="AJ270" s="212"/>
      <c r="AK270" s="212"/>
      <c r="AL270" s="212"/>
      <c r="AM270" s="212"/>
      <c r="AN270" s="212"/>
      <c r="AO270" s="212"/>
      <c r="AP270" s="196"/>
      <c r="AQ270" s="196"/>
      <c r="AR270" s="211"/>
      <c r="AS270" s="212"/>
      <c r="AT270" s="212"/>
      <c r="AU270" s="212"/>
      <c r="AW270" s="58"/>
      <c r="AX270" s="58"/>
      <c r="AY270" s="58"/>
      <c r="AZ270" s="58"/>
    </row>
    <row r="271" spans="1:52" s="185" customFormat="1" ht="15" customHeight="1" x14ac:dyDescent="0.25">
      <c r="A271" s="200"/>
      <c r="B271" s="211"/>
      <c r="C271" s="212">
        <f t="shared" si="26"/>
        <v>26.000000000000099</v>
      </c>
      <c r="D271" s="231">
        <f>15+[2]!STEPLOAD(5)</f>
        <v>20</v>
      </c>
      <c r="E271" s="212">
        <f t="shared" si="27"/>
        <v>45.188280589817367</v>
      </c>
      <c r="F271" s="212">
        <f t="shared" si="28"/>
        <v>0.5</v>
      </c>
      <c r="G271" s="212">
        <f>5</f>
        <v>5</v>
      </c>
      <c r="H271" s="212">
        <f>60</f>
        <v>60</v>
      </c>
      <c r="I271" s="212">
        <f t="shared" si="29"/>
        <v>0.9</v>
      </c>
      <c r="J271" s="212">
        <f>1</f>
        <v>1</v>
      </c>
      <c r="K271" s="212">
        <f t="shared" si="30"/>
        <v>4.1870000000000003</v>
      </c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  <c r="AA271" s="212"/>
      <c r="AB271" s="212"/>
      <c r="AC271" s="196"/>
      <c r="AD271" s="27"/>
      <c r="AE271" s="213"/>
      <c r="AF271" s="212">
        <f t="shared" si="31"/>
        <v>6.0584408178521176E-2</v>
      </c>
      <c r="AG271" s="212"/>
      <c r="AH271" s="212"/>
      <c r="AI271" s="212"/>
      <c r="AJ271" s="212"/>
      <c r="AK271" s="212"/>
      <c r="AL271" s="212"/>
      <c r="AM271" s="212"/>
      <c r="AN271" s="212"/>
      <c r="AO271" s="212"/>
      <c r="AP271" s="196"/>
      <c r="AQ271" s="196"/>
      <c r="AR271" s="211"/>
      <c r="AS271" s="212"/>
      <c r="AT271" s="212"/>
      <c r="AU271" s="212"/>
      <c r="AW271" s="58"/>
      <c r="AX271" s="58"/>
      <c r="AY271" s="58"/>
      <c r="AZ271" s="58"/>
    </row>
    <row r="272" spans="1:52" s="185" customFormat="1" ht="15" customHeight="1" x14ac:dyDescent="0.25">
      <c r="A272" s="200"/>
      <c r="B272" s="211"/>
      <c r="C272" s="212">
        <f t="shared" si="26"/>
        <v>26.100000000000101</v>
      </c>
      <c r="D272" s="231">
        <f>15+[2]!STEPLOAD(5)</f>
        <v>20</v>
      </c>
      <c r="E272" s="212">
        <f t="shared" si="27"/>
        <v>45.19433903063522</v>
      </c>
      <c r="F272" s="212">
        <f t="shared" si="28"/>
        <v>0.5</v>
      </c>
      <c r="G272" s="212">
        <f>5</f>
        <v>5</v>
      </c>
      <c r="H272" s="212">
        <f>60</f>
        <v>60</v>
      </c>
      <c r="I272" s="212">
        <f t="shared" si="29"/>
        <v>0.9</v>
      </c>
      <c r="J272" s="212">
        <f>1</f>
        <v>1</v>
      </c>
      <c r="K272" s="212">
        <f t="shared" si="30"/>
        <v>4.1870000000000003</v>
      </c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  <c r="AA272" s="212"/>
      <c r="AB272" s="212"/>
      <c r="AC272" s="196"/>
      <c r="AD272" s="27"/>
      <c r="AE272" s="213"/>
      <c r="AF272" s="212">
        <f t="shared" si="31"/>
        <v>5.9978564096736076E-2</v>
      </c>
      <c r="AG272" s="212"/>
      <c r="AH272" s="212"/>
      <c r="AI272" s="212"/>
      <c r="AJ272" s="212"/>
      <c r="AK272" s="212"/>
      <c r="AL272" s="212"/>
      <c r="AM272" s="212"/>
      <c r="AN272" s="212"/>
      <c r="AO272" s="212"/>
      <c r="AP272" s="196"/>
      <c r="AQ272" s="196"/>
      <c r="AR272" s="211"/>
      <c r="AS272" s="212"/>
      <c r="AT272" s="212"/>
      <c r="AU272" s="212"/>
      <c r="AW272" s="58"/>
      <c r="AX272" s="58"/>
      <c r="AY272" s="58"/>
      <c r="AZ272" s="58"/>
    </row>
    <row r="273" spans="1:52" s="185" customFormat="1" ht="15" customHeight="1" x14ac:dyDescent="0.25">
      <c r="A273" s="200"/>
      <c r="B273" s="211"/>
      <c r="C273" s="212">
        <f t="shared" si="26"/>
        <v>26.200000000000102</v>
      </c>
      <c r="D273" s="231">
        <f>15+[2]!STEPLOAD(5)</f>
        <v>20</v>
      </c>
      <c r="E273" s="212">
        <f t="shared" si="27"/>
        <v>45.200336887044891</v>
      </c>
      <c r="F273" s="212">
        <f t="shared" si="28"/>
        <v>0.5</v>
      </c>
      <c r="G273" s="212">
        <f>5</f>
        <v>5</v>
      </c>
      <c r="H273" s="212">
        <f>60</f>
        <v>60</v>
      </c>
      <c r="I273" s="212">
        <f t="shared" si="29"/>
        <v>0.9</v>
      </c>
      <c r="J273" s="212">
        <f>1</f>
        <v>1</v>
      </c>
      <c r="K273" s="212">
        <f t="shared" si="30"/>
        <v>4.1870000000000003</v>
      </c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212"/>
      <c r="Y273" s="212"/>
      <c r="Z273" s="212"/>
      <c r="AA273" s="212"/>
      <c r="AB273" s="212"/>
      <c r="AC273" s="196"/>
      <c r="AD273" s="27"/>
      <c r="AE273" s="213"/>
      <c r="AF273" s="212">
        <f t="shared" si="31"/>
        <v>5.9378778455768888E-2</v>
      </c>
      <c r="AG273" s="212"/>
      <c r="AH273" s="212"/>
      <c r="AI273" s="212"/>
      <c r="AJ273" s="212"/>
      <c r="AK273" s="212"/>
      <c r="AL273" s="212"/>
      <c r="AM273" s="212"/>
      <c r="AN273" s="212"/>
      <c r="AO273" s="212"/>
      <c r="AP273" s="196"/>
      <c r="AQ273" s="196"/>
      <c r="AR273" s="211"/>
      <c r="AS273" s="212"/>
      <c r="AT273" s="212"/>
      <c r="AU273" s="212"/>
      <c r="AW273" s="58"/>
      <c r="AX273" s="58"/>
      <c r="AY273" s="58"/>
      <c r="AZ273" s="58"/>
    </row>
    <row r="274" spans="1:52" s="185" customFormat="1" ht="15" customHeight="1" x14ac:dyDescent="0.25">
      <c r="A274" s="200"/>
      <c r="B274" s="211"/>
      <c r="C274" s="212">
        <f t="shared" si="26"/>
        <v>26.300000000000104</v>
      </c>
      <c r="D274" s="231">
        <f>15+[2]!STEPLOAD(5)</f>
        <v>20</v>
      </c>
      <c r="E274" s="212">
        <f t="shared" si="27"/>
        <v>45.206274764890466</v>
      </c>
      <c r="F274" s="212">
        <f t="shared" si="28"/>
        <v>0.5</v>
      </c>
      <c r="G274" s="212">
        <f>5</f>
        <v>5</v>
      </c>
      <c r="H274" s="212">
        <f>60</f>
        <v>60</v>
      </c>
      <c r="I274" s="212">
        <f t="shared" si="29"/>
        <v>0.9</v>
      </c>
      <c r="J274" s="212">
        <f>1</f>
        <v>1</v>
      </c>
      <c r="K274" s="212">
        <f t="shared" si="30"/>
        <v>4.1870000000000003</v>
      </c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212"/>
      <c r="Y274" s="212"/>
      <c r="Z274" s="212"/>
      <c r="AA274" s="212"/>
      <c r="AB274" s="212"/>
      <c r="AC274" s="196"/>
      <c r="AD274" s="27"/>
      <c r="AE274" s="213"/>
      <c r="AF274" s="212">
        <f t="shared" si="31"/>
        <v>5.8784990671211457E-2</v>
      </c>
      <c r="AG274" s="212"/>
      <c r="AH274" s="212"/>
      <c r="AI274" s="212"/>
      <c r="AJ274" s="212"/>
      <c r="AK274" s="212"/>
      <c r="AL274" s="212"/>
      <c r="AM274" s="212"/>
      <c r="AN274" s="212"/>
      <c r="AO274" s="212"/>
      <c r="AP274" s="196"/>
      <c r="AQ274" s="196"/>
      <c r="AR274" s="211"/>
      <c r="AS274" s="212"/>
      <c r="AT274" s="212"/>
      <c r="AU274" s="212"/>
      <c r="AW274" s="58"/>
      <c r="AX274" s="58"/>
      <c r="AY274" s="58"/>
      <c r="AZ274" s="58"/>
    </row>
    <row r="275" spans="1:52" s="185" customFormat="1" ht="15" customHeight="1" x14ac:dyDescent="0.25">
      <c r="A275" s="200"/>
      <c r="B275" s="211"/>
      <c r="C275" s="212">
        <f t="shared" si="26"/>
        <v>26.400000000000105</v>
      </c>
      <c r="D275" s="231">
        <f>15+[2]!STEPLOAD(5)</f>
        <v>20</v>
      </c>
      <c r="E275" s="212">
        <f t="shared" si="27"/>
        <v>45.212153263957589</v>
      </c>
      <c r="F275" s="212">
        <f t="shared" si="28"/>
        <v>0.5</v>
      </c>
      <c r="G275" s="212">
        <f>5</f>
        <v>5</v>
      </c>
      <c r="H275" s="212">
        <f>60</f>
        <v>60</v>
      </c>
      <c r="I275" s="212">
        <f t="shared" si="29"/>
        <v>0.9</v>
      </c>
      <c r="J275" s="212">
        <f>1</f>
        <v>1</v>
      </c>
      <c r="K275" s="212">
        <f t="shared" si="30"/>
        <v>4.1870000000000003</v>
      </c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196"/>
      <c r="AD275" s="27"/>
      <c r="AE275" s="213"/>
      <c r="AF275" s="212">
        <f t="shared" si="31"/>
        <v>5.8197140764499E-2</v>
      </c>
      <c r="AG275" s="212"/>
      <c r="AH275" s="212"/>
      <c r="AI275" s="212"/>
      <c r="AJ275" s="212"/>
      <c r="AK275" s="212"/>
      <c r="AL275" s="212"/>
      <c r="AM275" s="212"/>
      <c r="AN275" s="212"/>
      <c r="AO275" s="212"/>
      <c r="AP275" s="196"/>
      <c r="AQ275" s="196"/>
      <c r="AR275" s="211"/>
      <c r="AS275" s="212"/>
      <c r="AT275" s="212"/>
      <c r="AU275" s="212"/>
      <c r="AW275" s="58"/>
      <c r="AX275" s="58"/>
      <c r="AY275" s="58"/>
      <c r="AZ275" s="58"/>
    </row>
    <row r="276" spans="1:52" s="185" customFormat="1" ht="15" customHeight="1" x14ac:dyDescent="0.25">
      <c r="A276" s="200"/>
      <c r="B276" s="211"/>
      <c r="C276" s="212">
        <f t="shared" si="26"/>
        <v>26.500000000000107</v>
      </c>
      <c r="D276" s="231">
        <f>15+[2]!STEPLOAD(5)</f>
        <v>20</v>
      </c>
      <c r="E276" s="212">
        <f t="shared" si="27"/>
        <v>45.217972978034041</v>
      </c>
      <c r="F276" s="212">
        <f t="shared" si="28"/>
        <v>0.5</v>
      </c>
      <c r="G276" s="212">
        <f>5</f>
        <v>5</v>
      </c>
      <c r="H276" s="212">
        <f>60</f>
        <v>60</v>
      </c>
      <c r="I276" s="212">
        <f t="shared" si="29"/>
        <v>0.9</v>
      </c>
      <c r="J276" s="212">
        <f>1</f>
        <v>1</v>
      </c>
      <c r="K276" s="212">
        <f t="shared" si="30"/>
        <v>4.1870000000000003</v>
      </c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196"/>
      <c r="AD276" s="27"/>
      <c r="AE276" s="213"/>
      <c r="AF276" s="212">
        <f t="shared" si="31"/>
        <v>5.7615169356853624E-2</v>
      </c>
      <c r="AG276" s="212"/>
      <c r="AH276" s="212"/>
      <c r="AI276" s="212"/>
      <c r="AJ276" s="212"/>
      <c r="AK276" s="212"/>
      <c r="AL276" s="212"/>
      <c r="AM276" s="212"/>
      <c r="AN276" s="212"/>
      <c r="AO276" s="212"/>
      <c r="AP276" s="196"/>
      <c r="AQ276" s="196"/>
      <c r="AR276" s="211"/>
      <c r="AS276" s="212"/>
      <c r="AT276" s="212"/>
      <c r="AU276" s="212"/>
      <c r="AW276" s="58"/>
      <c r="AX276" s="58"/>
      <c r="AY276" s="58"/>
      <c r="AZ276" s="58"/>
    </row>
    <row r="277" spans="1:52" s="185" customFormat="1" ht="15" customHeight="1" x14ac:dyDescent="0.25">
      <c r="A277" s="200"/>
      <c r="B277" s="211"/>
      <c r="C277" s="212">
        <f t="shared" si="26"/>
        <v>26.600000000000108</v>
      </c>
      <c r="D277" s="231">
        <f>15+[2]!STEPLOAD(5)</f>
        <v>20</v>
      </c>
      <c r="E277" s="212">
        <f t="shared" si="27"/>
        <v>45.223734494969726</v>
      </c>
      <c r="F277" s="212">
        <f t="shared" si="28"/>
        <v>0.5</v>
      </c>
      <c r="G277" s="212">
        <f>5</f>
        <v>5</v>
      </c>
      <c r="H277" s="212">
        <f>60</f>
        <v>60</v>
      </c>
      <c r="I277" s="212">
        <f t="shared" si="29"/>
        <v>0.9</v>
      </c>
      <c r="J277" s="212">
        <f>1</f>
        <v>1</v>
      </c>
      <c r="K277" s="212">
        <f t="shared" si="30"/>
        <v>4.1870000000000003</v>
      </c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196"/>
      <c r="AD277" s="27"/>
      <c r="AE277" s="213"/>
      <c r="AF277" s="212">
        <f t="shared" si="31"/>
        <v>5.7039017663285119E-2</v>
      </c>
      <c r="AG277" s="212"/>
      <c r="AH277" s="212"/>
      <c r="AI277" s="212"/>
      <c r="AJ277" s="212"/>
      <c r="AK277" s="212"/>
      <c r="AL277" s="212"/>
      <c r="AM277" s="212"/>
      <c r="AN277" s="212"/>
      <c r="AO277" s="212"/>
      <c r="AP277" s="196"/>
      <c r="AQ277" s="196"/>
      <c r="AR277" s="211"/>
      <c r="AS277" s="212"/>
      <c r="AT277" s="212"/>
      <c r="AU277" s="212"/>
      <c r="AW277" s="58"/>
      <c r="AX277" s="58"/>
      <c r="AY277" s="58"/>
      <c r="AZ277" s="58"/>
    </row>
    <row r="278" spans="1:52" s="185" customFormat="1" ht="15" customHeight="1" x14ac:dyDescent="0.25">
      <c r="A278" s="200"/>
      <c r="B278" s="211"/>
      <c r="C278" s="212">
        <f t="shared" si="26"/>
        <v>26.700000000000109</v>
      </c>
      <c r="D278" s="231">
        <f>15+[2]!STEPLOAD(5)</f>
        <v>20</v>
      </c>
      <c r="E278" s="212">
        <f t="shared" si="27"/>
        <v>45.229438396736057</v>
      </c>
      <c r="F278" s="212">
        <f t="shared" si="28"/>
        <v>0.5</v>
      </c>
      <c r="G278" s="212">
        <f>5</f>
        <v>5</v>
      </c>
      <c r="H278" s="212">
        <f>60</f>
        <v>60</v>
      </c>
      <c r="I278" s="212">
        <f t="shared" si="29"/>
        <v>0.9</v>
      </c>
      <c r="J278" s="212">
        <f>1</f>
        <v>1</v>
      </c>
      <c r="K278" s="212">
        <f t="shared" si="30"/>
        <v>4.1870000000000003</v>
      </c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196"/>
      <c r="AD278" s="27"/>
      <c r="AE278" s="213"/>
      <c r="AF278" s="212">
        <f t="shared" si="31"/>
        <v>5.6468627486652156E-2</v>
      </c>
      <c r="AG278" s="212"/>
      <c r="AH278" s="212"/>
      <c r="AI278" s="212"/>
      <c r="AJ278" s="212"/>
      <c r="AK278" s="212"/>
      <c r="AL278" s="212"/>
      <c r="AM278" s="212"/>
      <c r="AN278" s="212"/>
      <c r="AO278" s="212"/>
      <c r="AP278" s="196"/>
      <c r="AQ278" s="196"/>
      <c r="AR278" s="211"/>
      <c r="AS278" s="212"/>
      <c r="AT278" s="212"/>
      <c r="AU278" s="212"/>
      <c r="AW278" s="58"/>
      <c r="AX278" s="58"/>
      <c r="AY278" s="58"/>
      <c r="AZ278" s="58"/>
    </row>
    <row r="279" spans="1:52" s="185" customFormat="1" ht="15" customHeight="1" x14ac:dyDescent="0.25">
      <c r="A279" s="200"/>
      <c r="B279" s="211"/>
      <c r="C279" s="212">
        <f t="shared" si="26"/>
        <v>26.800000000000111</v>
      </c>
      <c r="D279" s="231">
        <f>15+[2]!STEPLOAD(5)</f>
        <v>20</v>
      </c>
      <c r="E279" s="212">
        <f t="shared" si="27"/>
        <v>45.23508525948472</v>
      </c>
      <c r="F279" s="212">
        <f t="shared" si="28"/>
        <v>0.5</v>
      </c>
      <c r="G279" s="212">
        <f>5</f>
        <v>5</v>
      </c>
      <c r="H279" s="212">
        <f>60</f>
        <v>60</v>
      </c>
      <c r="I279" s="212">
        <f t="shared" si="29"/>
        <v>0.9</v>
      </c>
      <c r="J279" s="212">
        <f>1</f>
        <v>1</v>
      </c>
      <c r="K279" s="212">
        <f t="shared" si="30"/>
        <v>4.1870000000000003</v>
      </c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212"/>
      <c r="Y279" s="212"/>
      <c r="Z279" s="212"/>
      <c r="AA279" s="212"/>
      <c r="AB279" s="212"/>
      <c r="AC279" s="196"/>
      <c r="AD279" s="27"/>
      <c r="AE279" s="213"/>
      <c r="AF279" s="212">
        <f t="shared" si="31"/>
        <v>5.5903941211786101E-2</v>
      </c>
      <c r="AG279" s="212"/>
      <c r="AH279" s="212"/>
      <c r="AI279" s="212"/>
      <c r="AJ279" s="212"/>
      <c r="AK279" s="212"/>
      <c r="AL279" s="212"/>
      <c r="AM279" s="212"/>
      <c r="AN279" s="212"/>
      <c r="AO279" s="212"/>
      <c r="AP279" s="196"/>
      <c r="AQ279" s="196"/>
      <c r="AR279" s="211"/>
      <c r="AS279" s="212"/>
      <c r="AT279" s="212"/>
      <c r="AU279" s="212"/>
      <c r="AW279" s="58"/>
      <c r="AX279" s="58"/>
      <c r="AY279" s="58"/>
      <c r="AZ279" s="58"/>
    </row>
    <row r="280" spans="1:52" s="185" customFormat="1" ht="15" customHeight="1" x14ac:dyDescent="0.25">
      <c r="A280" s="200"/>
      <c r="B280" s="211"/>
      <c r="C280" s="212">
        <f t="shared" si="26"/>
        <v>26.900000000000112</v>
      </c>
      <c r="D280" s="231">
        <f>15+[2]!STEPLOAD(5)</f>
        <v>20</v>
      </c>
      <c r="E280" s="212">
        <f t="shared" si="27"/>
        <v>45.240675653605898</v>
      </c>
      <c r="F280" s="212">
        <f t="shared" si="28"/>
        <v>0.5</v>
      </c>
      <c r="G280" s="212">
        <f>5</f>
        <v>5</v>
      </c>
      <c r="H280" s="212">
        <f>60</f>
        <v>60</v>
      </c>
      <c r="I280" s="212">
        <f t="shared" si="29"/>
        <v>0.9</v>
      </c>
      <c r="J280" s="212">
        <f>1</f>
        <v>1</v>
      </c>
      <c r="K280" s="212">
        <f t="shared" si="30"/>
        <v>4.1870000000000003</v>
      </c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196"/>
      <c r="AD280" s="27"/>
      <c r="AE280" s="213"/>
      <c r="AF280" s="212">
        <f t="shared" si="31"/>
        <v>5.5344901799668111E-2</v>
      </c>
      <c r="AG280" s="212"/>
      <c r="AH280" s="212"/>
      <c r="AI280" s="212"/>
      <c r="AJ280" s="212"/>
      <c r="AK280" s="212"/>
      <c r="AL280" s="212"/>
      <c r="AM280" s="212"/>
      <c r="AN280" s="212"/>
      <c r="AO280" s="212"/>
      <c r="AP280" s="196"/>
      <c r="AQ280" s="196"/>
      <c r="AR280" s="211"/>
      <c r="AS280" s="212"/>
      <c r="AT280" s="212"/>
      <c r="AU280" s="212"/>
      <c r="AW280" s="58"/>
      <c r="AX280" s="58"/>
      <c r="AY280" s="58"/>
      <c r="AZ280" s="58"/>
    </row>
    <row r="281" spans="1:52" s="185" customFormat="1" ht="15" customHeight="1" x14ac:dyDescent="0.25">
      <c r="A281" s="200"/>
      <c r="B281" s="211"/>
      <c r="C281" s="212">
        <f t="shared" si="26"/>
        <v>27.000000000000114</v>
      </c>
      <c r="D281" s="231">
        <f>15+[2]!STEPLOAD(5)</f>
        <v>20</v>
      </c>
      <c r="E281" s="212">
        <f t="shared" si="27"/>
        <v>45.246210143785866</v>
      </c>
      <c r="F281" s="212">
        <f t="shared" si="28"/>
        <v>0.5</v>
      </c>
      <c r="G281" s="212">
        <f>5</f>
        <v>5</v>
      </c>
      <c r="H281" s="212">
        <f>60</f>
        <v>60</v>
      </c>
      <c r="I281" s="212">
        <f t="shared" si="29"/>
        <v>0.9</v>
      </c>
      <c r="J281" s="212">
        <f>1</f>
        <v>1</v>
      </c>
      <c r="K281" s="212">
        <f t="shared" si="30"/>
        <v>4.1870000000000003</v>
      </c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  <c r="AA281" s="212"/>
      <c r="AB281" s="212"/>
      <c r="AC281" s="196"/>
      <c r="AD281" s="27"/>
      <c r="AE281" s="213"/>
      <c r="AF281" s="212">
        <f t="shared" si="31"/>
        <v>5.4791452781671079E-2</v>
      </c>
      <c r="AG281" s="212"/>
      <c r="AH281" s="212"/>
      <c r="AI281" s="212"/>
      <c r="AJ281" s="212"/>
      <c r="AK281" s="212"/>
      <c r="AL281" s="212"/>
      <c r="AM281" s="212"/>
      <c r="AN281" s="212"/>
      <c r="AO281" s="212"/>
      <c r="AP281" s="196"/>
      <c r="AQ281" s="196"/>
      <c r="AR281" s="211"/>
      <c r="AS281" s="212"/>
      <c r="AT281" s="212"/>
      <c r="AU281" s="212"/>
      <c r="AW281" s="58"/>
      <c r="AX281" s="58"/>
      <c r="AY281" s="58"/>
      <c r="AZ281" s="58"/>
    </row>
    <row r="282" spans="1:52" s="185" customFormat="1" ht="15" customHeight="1" x14ac:dyDescent="0.25">
      <c r="A282" s="200"/>
      <c r="B282" s="211"/>
      <c r="C282" s="212">
        <f t="shared" si="26"/>
        <v>27.100000000000115</v>
      </c>
      <c r="D282" s="231">
        <f>15+[2]!STEPLOAD(5)</f>
        <v>20</v>
      </c>
      <c r="E282" s="212">
        <f t="shared" si="27"/>
        <v>45.251689289064032</v>
      </c>
      <c r="F282" s="212">
        <f t="shared" si="28"/>
        <v>0.5</v>
      </c>
      <c r="G282" s="212">
        <f>5</f>
        <v>5</v>
      </c>
      <c r="H282" s="212">
        <f>60</f>
        <v>60</v>
      </c>
      <c r="I282" s="212">
        <f t="shared" si="29"/>
        <v>0.9</v>
      </c>
      <c r="J282" s="212">
        <f>1</f>
        <v>1</v>
      </c>
      <c r="K282" s="212">
        <f t="shared" si="30"/>
        <v>4.1870000000000003</v>
      </c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212"/>
      <c r="Y282" s="212"/>
      <c r="Z282" s="212"/>
      <c r="AA282" s="212"/>
      <c r="AB282" s="212"/>
      <c r="AC282" s="196"/>
      <c r="AD282" s="27"/>
      <c r="AE282" s="213"/>
      <c r="AF282" s="212">
        <f t="shared" si="31"/>
        <v>5.4243538253854862E-2</v>
      </c>
      <c r="AG282" s="212"/>
      <c r="AH282" s="212"/>
      <c r="AI282" s="212"/>
      <c r="AJ282" s="212"/>
      <c r="AK282" s="212"/>
      <c r="AL282" s="212"/>
      <c r="AM282" s="212"/>
      <c r="AN282" s="212"/>
      <c r="AO282" s="212"/>
      <c r="AP282" s="196"/>
      <c r="AQ282" s="196"/>
      <c r="AR282" s="211"/>
      <c r="AS282" s="212"/>
      <c r="AT282" s="212"/>
      <c r="AU282" s="212"/>
      <c r="AW282" s="58"/>
      <c r="AX282" s="58"/>
      <c r="AY282" s="58"/>
      <c r="AZ282" s="58"/>
    </row>
    <row r="283" spans="1:52" s="185" customFormat="1" ht="15" customHeight="1" x14ac:dyDescent="0.25">
      <c r="A283" s="200"/>
      <c r="B283" s="211"/>
      <c r="C283" s="212">
        <f t="shared" si="26"/>
        <v>27.200000000000117</v>
      </c>
      <c r="D283" s="231">
        <f>15+[2]!STEPLOAD(5)</f>
        <v>20</v>
      </c>
      <c r="E283" s="212">
        <f t="shared" si="27"/>
        <v>45.257113642889415</v>
      </c>
      <c r="F283" s="212">
        <f t="shared" si="28"/>
        <v>0.5</v>
      </c>
      <c r="G283" s="212">
        <f>5</f>
        <v>5</v>
      </c>
      <c r="H283" s="212">
        <f>60</f>
        <v>60</v>
      </c>
      <c r="I283" s="212">
        <f t="shared" si="29"/>
        <v>0.9</v>
      </c>
      <c r="J283" s="212">
        <f>1</f>
        <v>1</v>
      </c>
      <c r="K283" s="212">
        <f t="shared" si="30"/>
        <v>4.1870000000000003</v>
      </c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212"/>
      <c r="Y283" s="212"/>
      <c r="Z283" s="212"/>
      <c r="AA283" s="212"/>
      <c r="AB283" s="212"/>
      <c r="AC283" s="196"/>
      <c r="AD283" s="27"/>
      <c r="AE283" s="213"/>
      <c r="AF283" s="212">
        <f t="shared" si="31"/>
        <v>5.3701102871316575E-2</v>
      </c>
      <c r="AG283" s="212"/>
      <c r="AH283" s="212"/>
      <c r="AI283" s="212"/>
      <c r="AJ283" s="212"/>
      <c r="AK283" s="212"/>
      <c r="AL283" s="212"/>
      <c r="AM283" s="212"/>
      <c r="AN283" s="212"/>
      <c r="AO283" s="212"/>
      <c r="AP283" s="196"/>
      <c r="AQ283" s="196"/>
      <c r="AR283" s="211"/>
      <c r="AS283" s="212"/>
      <c r="AT283" s="212"/>
      <c r="AU283" s="212"/>
      <c r="AW283" s="58"/>
      <c r="AX283" s="58"/>
      <c r="AY283" s="58"/>
      <c r="AZ283" s="58"/>
    </row>
    <row r="284" spans="1:52" s="185" customFormat="1" ht="15" customHeight="1" x14ac:dyDescent="0.25">
      <c r="A284" s="200"/>
      <c r="B284" s="211"/>
      <c r="C284" s="212">
        <f t="shared" si="26"/>
        <v>27.300000000000118</v>
      </c>
      <c r="D284" s="231">
        <f>15+[2]!STEPLOAD(5)</f>
        <v>20</v>
      </c>
      <c r="E284" s="212">
        <f t="shared" si="27"/>
        <v>45.262483753176546</v>
      </c>
      <c r="F284" s="212">
        <f t="shared" si="28"/>
        <v>0.5</v>
      </c>
      <c r="G284" s="212">
        <f>5</f>
        <v>5</v>
      </c>
      <c r="H284" s="212">
        <f>60</f>
        <v>60</v>
      </c>
      <c r="I284" s="212">
        <f t="shared" si="29"/>
        <v>0.9</v>
      </c>
      <c r="J284" s="212">
        <f>1</f>
        <v>1</v>
      </c>
      <c r="K284" s="212">
        <f t="shared" si="30"/>
        <v>4.1870000000000003</v>
      </c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212"/>
      <c r="Y284" s="212"/>
      <c r="Z284" s="212"/>
      <c r="AA284" s="212"/>
      <c r="AB284" s="212"/>
      <c r="AC284" s="196"/>
      <c r="AD284" s="27"/>
      <c r="AE284" s="213"/>
      <c r="AF284" s="212">
        <f t="shared" si="31"/>
        <v>5.3164091842603067E-2</v>
      </c>
      <c r="AG284" s="212"/>
      <c r="AH284" s="212"/>
      <c r="AI284" s="212"/>
      <c r="AJ284" s="212"/>
      <c r="AK284" s="212"/>
      <c r="AL284" s="212"/>
      <c r="AM284" s="212"/>
      <c r="AN284" s="212"/>
      <c r="AO284" s="212"/>
      <c r="AP284" s="196"/>
      <c r="AQ284" s="196"/>
      <c r="AR284" s="211"/>
      <c r="AS284" s="212"/>
      <c r="AT284" s="212"/>
      <c r="AU284" s="212"/>
      <c r="AW284" s="58"/>
      <c r="AX284" s="58"/>
      <c r="AY284" s="58"/>
      <c r="AZ284" s="58"/>
    </row>
    <row r="285" spans="1:52" s="185" customFormat="1" ht="15" customHeight="1" x14ac:dyDescent="0.25">
      <c r="A285" s="200"/>
      <c r="B285" s="211"/>
      <c r="C285" s="212">
        <f t="shared" si="26"/>
        <v>27.400000000000119</v>
      </c>
      <c r="D285" s="231">
        <f>15+[2]!STEPLOAD(5)</f>
        <v>20</v>
      </c>
      <c r="E285" s="212">
        <f t="shared" si="27"/>
        <v>45.267800162360807</v>
      </c>
      <c r="F285" s="212">
        <f t="shared" si="28"/>
        <v>0.5</v>
      </c>
      <c r="G285" s="212">
        <f>5</f>
        <v>5</v>
      </c>
      <c r="H285" s="212">
        <f>60</f>
        <v>60</v>
      </c>
      <c r="I285" s="212">
        <f t="shared" si="29"/>
        <v>0.9</v>
      </c>
      <c r="J285" s="212">
        <f>1</f>
        <v>1</v>
      </c>
      <c r="K285" s="212">
        <f t="shared" si="30"/>
        <v>4.1870000000000003</v>
      </c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  <c r="AA285" s="212"/>
      <c r="AB285" s="212"/>
      <c r="AC285" s="196"/>
      <c r="AD285" s="27"/>
      <c r="AE285" s="213"/>
      <c r="AF285" s="212">
        <f t="shared" si="31"/>
        <v>5.2632450924177121E-2</v>
      </c>
      <c r="AG285" s="212"/>
      <c r="AH285" s="212"/>
      <c r="AI285" s="212"/>
      <c r="AJ285" s="212"/>
      <c r="AK285" s="212"/>
      <c r="AL285" s="212"/>
      <c r="AM285" s="212"/>
      <c r="AN285" s="212"/>
      <c r="AO285" s="212"/>
      <c r="AP285" s="196"/>
      <c r="AQ285" s="196"/>
      <c r="AR285" s="211"/>
      <c r="AS285" s="212"/>
      <c r="AT285" s="212"/>
      <c r="AU285" s="212"/>
      <c r="AW285" s="58"/>
      <c r="AX285" s="58"/>
      <c r="AY285" s="58"/>
      <c r="AZ285" s="58"/>
    </row>
    <row r="286" spans="1:52" s="185" customFormat="1" ht="15" customHeight="1" x14ac:dyDescent="0.25">
      <c r="A286" s="200"/>
      <c r="B286" s="211"/>
      <c r="C286" s="212">
        <f t="shared" si="26"/>
        <v>27.500000000000121</v>
      </c>
      <c r="D286" s="231">
        <f>15+[2]!STEPLOAD(5)</f>
        <v>20</v>
      </c>
      <c r="E286" s="212">
        <f t="shared" si="27"/>
        <v>45.273063407453222</v>
      </c>
      <c r="F286" s="212">
        <f t="shared" si="28"/>
        <v>0.5</v>
      </c>
      <c r="G286" s="212">
        <f>5</f>
        <v>5</v>
      </c>
      <c r="H286" s="212">
        <f>60</f>
        <v>60</v>
      </c>
      <c r="I286" s="212">
        <f t="shared" si="29"/>
        <v>0.9</v>
      </c>
      <c r="J286" s="212">
        <f>1</f>
        <v>1</v>
      </c>
      <c r="K286" s="212">
        <f t="shared" si="30"/>
        <v>4.1870000000000003</v>
      </c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212"/>
      <c r="Y286" s="212"/>
      <c r="Z286" s="212"/>
      <c r="AA286" s="212"/>
      <c r="AB286" s="212"/>
      <c r="AC286" s="196"/>
      <c r="AD286" s="27"/>
      <c r="AE286" s="213"/>
      <c r="AF286" s="212">
        <f t="shared" si="31"/>
        <v>5.2106126414935616E-2</v>
      </c>
      <c r="AG286" s="212"/>
      <c r="AH286" s="212"/>
      <c r="AI286" s="212"/>
      <c r="AJ286" s="212"/>
      <c r="AK286" s="212"/>
      <c r="AL286" s="212"/>
      <c r="AM286" s="212"/>
      <c r="AN286" s="212"/>
      <c r="AO286" s="212"/>
      <c r="AP286" s="196"/>
      <c r="AQ286" s="196"/>
      <c r="AR286" s="211"/>
      <c r="AS286" s="212"/>
      <c r="AT286" s="212"/>
      <c r="AU286" s="212"/>
      <c r="AW286" s="58"/>
      <c r="AX286" s="58"/>
      <c r="AY286" s="58"/>
      <c r="AZ286" s="58"/>
    </row>
    <row r="287" spans="1:52" s="185" customFormat="1" ht="15" customHeight="1" x14ac:dyDescent="0.25">
      <c r="A287" s="200"/>
      <c r="B287" s="211"/>
      <c r="C287" s="212">
        <f t="shared" si="26"/>
        <v>27.600000000000122</v>
      </c>
      <c r="D287" s="231">
        <f>15+[2]!STEPLOAD(5)</f>
        <v>20</v>
      </c>
      <c r="E287" s="212">
        <f t="shared" si="27"/>
        <v>45.278274020094713</v>
      </c>
      <c r="F287" s="212">
        <f t="shared" si="28"/>
        <v>0.5</v>
      </c>
      <c r="G287" s="212">
        <f>5</f>
        <v>5</v>
      </c>
      <c r="H287" s="212">
        <f>60</f>
        <v>60</v>
      </c>
      <c r="I287" s="212">
        <f t="shared" si="29"/>
        <v>0.9</v>
      </c>
      <c r="J287" s="212">
        <f>1</f>
        <v>1</v>
      </c>
      <c r="K287" s="212">
        <f t="shared" si="30"/>
        <v>4.1870000000000003</v>
      </c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212"/>
      <c r="Y287" s="212"/>
      <c r="Z287" s="212"/>
      <c r="AA287" s="212"/>
      <c r="AB287" s="212"/>
      <c r="AC287" s="196"/>
      <c r="AD287" s="27"/>
      <c r="AE287" s="213"/>
      <c r="AF287" s="212">
        <f t="shared" si="31"/>
        <v>5.1585065150786757E-2</v>
      </c>
      <c r="AG287" s="212"/>
      <c r="AH287" s="212"/>
      <c r="AI287" s="212"/>
      <c r="AJ287" s="212"/>
      <c r="AK287" s="212"/>
      <c r="AL287" s="212"/>
      <c r="AM287" s="212"/>
      <c r="AN287" s="212"/>
      <c r="AO287" s="212"/>
      <c r="AP287" s="196"/>
      <c r="AQ287" s="196"/>
      <c r="AR287" s="211"/>
      <c r="AS287" s="212"/>
      <c r="AT287" s="212"/>
      <c r="AU287" s="212"/>
      <c r="AW287" s="58"/>
      <c r="AX287" s="58"/>
      <c r="AY287" s="58"/>
      <c r="AZ287" s="58"/>
    </row>
    <row r="288" spans="1:52" s="185" customFormat="1" ht="15" customHeight="1" x14ac:dyDescent="0.25">
      <c r="A288" s="200"/>
      <c r="B288" s="211"/>
      <c r="C288" s="212">
        <f t="shared" si="26"/>
        <v>27.700000000000124</v>
      </c>
      <c r="D288" s="231">
        <f>15+[2]!STEPLOAD(5)</f>
        <v>20</v>
      </c>
      <c r="E288" s="212">
        <f t="shared" si="27"/>
        <v>45.283432526609793</v>
      </c>
      <c r="F288" s="212">
        <f t="shared" si="28"/>
        <v>0.5</v>
      </c>
      <c r="G288" s="212">
        <f>5</f>
        <v>5</v>
      </c>
      <c r="H288" s="212">
        <f>60</f>
        <v>60</v>
      </c>
      <c r="I288" s="212">
        <f t="shared" si="29"/>
        <v>0.9</v>
      </c>
      <c r="J288" s="212">
        <f>1</f>
        <v>1</v>
      </c>
      <c r="K288" s="212">
        <f t="shared" si="30"/>
        <v>4.1870000000000003</v>
      </c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  <c r="AA288" s="212"/>
      <c r="AB288" s="212"/>
      <c r="AC288" s="196"/>
      <c r="AD288" s="27"/>
      <c r="AE288" s="213"/>
      <c r="AF288" s="212">
        <f t="shared" si="31"/>
        <v>5.106921449927837E-2</v>
      </c>
      <c r="AG288" s="212"/>
      <c r="AH288" s="212"/>
      <c r="AI288" s="212"/>
      <c r="AJ288" s="212"/>
      <c r="AK288" s="212"/>
      <c r="AL288" s="212"/>
      <c r="AM288" s="212"/>
      <c r="AN288" s="212"/>
      <c r="AO288" s="212"/>
      <c r="AP288" s="196"/>
      <c r="AQ288" s="196"/>
      <c r="AR288" s="211"/>
      <c r="AS288" s="212"/>
      <c r="AT288" s="212"/>
      <c r="AU288" s="212"/>
      <c r="AW288" s="58"/>
      <c r="AX288" s="58"/>
      <c r="AY288" s="58"/>
      <c r="AZ288" s="58"/>
    </row>
    <row r="289" spans="1:52" s="185" customFormat="1" ht="15" customHeight="1" x14ac:dyDescent="0.25">
      <c r="A289" s="200"/>
      <c r="B289" s="211"/>
      <c r="C289" s="212">
        <f t="shared" si="26"/>
        <v>27.800000000000125</v>
      </c>
      <c r="D289" s="231">
        <f>15+[2]!STEPLOAD(5)</f>
        <v>20</v>
      </c>
      <c r="E289" s="212">
        <f t="shared" si="27"/>
        <v>45.288539448059723</v>
      </c>
      <c r="F289" s="212">
        <f t="shared" si="28"/>
        <v>0.5</v>
      </c>
      <c r="G289" s="212">
        <f>5</f>
        <v>5</v>
      </c>
      <c r="H289" s="212">
        <f>60</f>
        <v>60</v>
      </c>
      <c r="I289" s="212">
        <f t="shared" si="29"/>
        <v>0.9</v>
      </c>
      <c r="J289" s="212">
        <f>1</f>
        <v>1</v>
      </c>
      <c r="K289" s="212">
        <f t="shared" si="30"/>
        <v>4.1870000000000003</v>
      </c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212"/>
      <c r="Y289" s="212"/>
      <c r="Z289" s="212"/>
      <c r="AA289" s="212"/>
      <c r="AB289" s="212"/>
      <c r="AC289" s="196"/>
      <c r="AD289" s="27"/>
      <c r="AE289" s="213"/>
      <c r="AF289" s="212">
        <f t="shared" si="31"/>
        <v>5.0558522354285707E-2</v>
      </c>
      <c r="AG289" s="212"/>
      <c r="AH289" s="212"/>
      <c r="AI289" s="212"/>
      <c r="AJ289" s="212"/>
      <c r="AK289" s="212"/>
      <c r="AL289" s="212"/>
      <c r="AM289" s="212"/>
      <c r="AN289" s="212"/>
      <c r="AO289" s="212"/>
      <c r="AP289" s="196"/>
      <c r="AQ289" s="196"/>
      <c r="AR289" s="211"/>
      <c r="AS289" s="212"/>
      <c r="AT289" s="212"/>
      <c r="AU289" s="212"/>
      <c r="AW289" s="58"/>
      <c r="AX289" s="58"/>
      <c r="AY289" s="58"/>
      <c r="AZ289" s="58"/>
    </row>
    <row r="290" spans="1:52" s="185" customFormat="1" ht="15" customHeight="1" x14ac:dyDescent="0.25">
      <c r="A290" s="200"/>
      <c r="B290" s="211"/>
      <c r="C290" s="212">
        <f t="shared" si="26"/>
        <v>27.900000000000126</v>
      </c>
      <c r="D290" s="231">
        <f>15+[2]!STEPLOAD(5)</f>
        <v>20</v>
      </c>
      <c r="E290" s="212">
        <f t="shared" si="27"/>
        <v>45.293595300295152</v>
      </c>
      <c r="F290" s="212">
        <f t="shared" si="28"/>
        <v>0.5</v>
      </c>
      <c r="G290" s="212">
        <f>5</f>
        <v>5</v>
      </c>
      <c r="H290" s="212">
        <f>60</f>
        <v>60</v>
      </c>
      <c r="I290" s="212">
        <f t="shared" si="29"/>
        <v>0.9</v>
      </c>
      <c r="J290" s="212">
        <f>1</f>
        <v>1</v>
      </c>
      <c r="K290" s="212">
        <f t="shared" si="30"/>
        <v>4.1870000000000003</v>
      </c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212"/>
      <c r="Y290" s="212"/>
      <c r="Z290" s="212"/>
      <c r="AA290" s="212"/>
      <c r="AB290" s="212"/>
      <c r="AC290" s="196"/>
      <c r="AD290" s="27"/>
      <c r="AE290" s="213"/>
      <c r="AF290" s="212">
        <f t="shared" si="31"/>
        <v>5.005293713074277E-2</v>
      </c>
      <c r="AG290" s="212"/>
      <c r="AH290" s="212"/>
      <c r="AI290" s="212"/>
      <c r="AJ290" s="212"/>
      <c r="AK290" s="212"/>
      <c r="AL290" s="212"/>
      <c r="AM290" s="212"/>
      <c r="AN290" s="212"/>
      <c r="AO290" s="212"/>
      <c r="AP290" s="196"/>
      <c r="AQ290" s="196"/>
      <c r="AR290" s="211"/>
      <c r="AS290" s="212"/>
      <c r="AT290" s="212"/>
      <c r="AU290" s="212"/>
      <c r="AW290" s="58"/>
      <c r="AX290" s="58"/>
      <c r="AY290" s="58"/>
      <c r="AZ290" s="58"/>
    </row>
    <row r="291" spans="1:52" s="185" customFormat="1" ht="15" customHeight="1" x14ac:dyDescent="0.25">
      <c r="A291" s="200"/>
      <c r="B291" s="211"/>
      <c r="C291" s="212">
        <f t="shared" si="26"/>
        <v>28.000000000000128</v>
      </c>
      <c r="D291" s="231">
        <f>15+[2]!STEPLOAD(5)</f>
        <v>20</v>
      </c>
      <c r="E291" s="212">
        <f t="shared" si="27"/>
        <v>45.298600594008228</v>
      </c>
      <c r="F291" s="212">
        <f t="shared" si="28"/>
        <v>0.5</v>
      </c>
      <c r="G291" s="212">
        <f>5</f>
        <v>5</v>
      </c>
      <c r="H291" s="212">
        <f>60</f>
        <v>60</v>
      </c>
      <c r="I291" s="212">
        <f t="shared" si="29"/>
        <v>0.9</v>
      </c>
      <c r="J291" s="212">
        <f>1</f>
        <v>1</v>
      </c>
      <c r="K291" s="212">
        <f t="shared" si="30"/>
        <v>4.1870000000000003</v>
      </c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196"/>
      <c r="AD291" s="27"/>
      <c r="AE291" s="213"/>
      <c r="AF291" s="212">
        <f t="shared" si="31"/>
        <v>4.9552407759434924E-2</v>
      </c>
      <c r="AG291" s="212"/>
      <c r="AH291" s="212"/>
      <c r="AI291" s="212"/>
      <c r="AJ291" s="212"/>
      <c r="AK291" s="212"/>
      <c r="AL291" s="212"/>
      <c r="AM291" s="212"/>
      <c r="AN291" s="212"/>
      <c r="AO291" s="212"/>
      <c r="AP291" s="196"/>
      <c r="AQ291" s="196"/>
      <c r="AR291" s="211"/>
      <c r="AS291" s="212"/>
      <c r="AT291" s="212"/>
      <c r="AU291" s="212"/>
      <c r="AW291" s="58"/>
      <c r="AX291" s="58"/>
      <c r="AY291" s="58"/>
      <c r="AZ291" s="58"/>
    </row>
    <row r="292" spans="1:52" s="185" customFormat="1" ht="15" customHeight="1" x14ac:dyDescent="0.25">
      <c r="A292" s="200"/>
      <c r="B292" s="211"/>
      <c r="C292" s="212">
        <f t="shared" si="26"/>
        <v>28.100000000000129</v>
      </c>
      <c r="D292" s="231">
        <f>15+[2]!STEPLOAD(5)</f>
        <v>20</v>
      </c>
      <c r="E292" s="212">
        <f t="shared" si="27"/>
        <v>45.30355583478417</v>
      </c>
      <c r="F292" s="212">
        <f t="shared" si="28"/>
        <v>0.5</v>
      </c>
      <c r="G292" s="212">
        <f>5</f>
        <v>5</v>
      </c>
      <c r="H292" s="212">
        <f>60</f>
        <v>60</v>
      </c>
      <c r="I292" s="212">
        <f t="shared" si="29"/>
        <v>0.9</v>
      </c>
      <c r="J292" s="212">
        <f>1</f>
        <v>1</v>
      </c>
      <c r="K292" s="212">
        <f t="shared" si="30"/>
        <v>4.1870000000000003</v>
      </c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212"/>
      <c r="Y292" s="212"/>
      <c r="Z292" s="212"/>
      <c r="AA292" s="212"/>
      <c r="AB292" s="212"/>
      <c r="AC292" s="196"/>
      <c r="AD292" s="27"/>
      <c r="AE292" s="213"/>
      <c r="AF292" s="212">
        <f t="shared" si="31"/>
        <v>4.9056883681840802E-2</v>
      </c>
      <c r="AG292" s="212"/>
      <c r="AH292" s="212"/>
      <c r="AI292" s="212"/>
      <c r="AJ292" s="212"/>
      <c r="AK292" s="212"/>
      <c r="AL292" s="212"/>
      <c r="AM292" s="212"/>
      <c r="AN292" s="212"/>
      <c r="AO292" s="212"/>
      <c r="AP292" s="196"/>
      <c r="AQ292" s="196"/>
      <c r="AR292" s="211"/>
      <c r="AS292" s="212"/>
      <c r="AT292" s="212"/>
      <c r="AU292" s="212"/>
      <c r="AW292" s="58"/>
      <c r="AX292" s="58"/>
      <c r="AY292" s="58"/>
      <c r="AZ292" s="58"/>
    </row>
    <row r="293" spans="1:52" s="185" customFormat="1" ht="15" customHeight="1" x14ac:dyDescent="0.25">
      <c r="A293" s="200"/>
      <c r="B293" s="211"/>
      <c r="C293" s="212">
        <f t="shared" si="26"/>
        <v>28.200000000000131</v>
      </c>
      <c r="D293" s="231">
        <f>15+[2]!STEPLOAD(5)</f>
        <v>20</v>
      </c>
      <c r="E293" s="212">
        <f t="shared" si="27"/>
        <v>45.308461523152353</v>
      </c>
      <c r="F293" s="212">
        <f t="shared" si="28"/>
        <v>0.5</v>
      </c>
      <c r="G293" s="212">
        <f>5</f>
        <v>5</v>
      </c>
      <c r="H293" s="212">
        <f>60</f>
        <v>60</v>
      </c>
      <c r="I293" s="212">
        <f t="shared" si="29"/>
        <v>0.9</v>
      </c>
      <c r="J293" s="212">
        <f>1</f>
        <v>1</v>
      </c>
      <c r="K293" s="212">
        <f t="shared" si="30"/>
        <v>4.1870000000000003</v>
      </c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212"/>
      <c r="Y293" s="212"/>
      <c r="Z293" s="212"/>
      <c r="AA293" s="212"/>
      <c r="AB293" s="212"/>
      <c r="AC293" s="196"/>
      <c r="AD293" s="27"/>
      <c r="AE293" s="213"/>
      <c r="AF293" s="212">
        <f t="shared" si="31"/>
        <v>4.8566314845022607E-2</v>
      </c>
      <c r="AG293" s="212"/>
      <c r="AH293" s="212"/>
      <c r="AI293" s="212"/>
      <c r="AJ293" s="212"/>
      <c r="AK293" s="212"/>
      <c r="AL293" s="212"/>
      <c r="AM293" s="212"/>
      <c r="AN293" s="212"/>
      <c r="AO293" s="212"/>
      <c r="AP293" s="196"/>
      <c r="AQ293" s="196"/>
      <c r="AR293" s="211"/>
      <c r="AS293" s="212"/>
      <c r="AT293" s="212"/>
      <c r="AU293" s="212"/>
      <c r="AW293" s="58"/>
      <c r="AX293" s="58"/>
      <c r="AY293" s="58"/>
      <c r="AZ293" s="58"/>
    </row>
    <row r="294" spans="1:52" s="185" customFormat="1" ht="15" customHeight="1" x14ac:dyDescent="0.25">
      <c r="A294" s="200"/>
      <c r="B294" s="211"/>
      <c r="C294" s="212">
        <f t="shared" si="26"/>
        <v>28.300000000000132</v>
      </c>
      <c r="D294" s="231">
        <f>15+[2]!STEPLOAD(5)</f>
        <v>20</v>
      </c>
      <c r="E294" s="212">
        <f t="shared" si="27"/>
        <v>45.313318154636853</v>
      </c>
      <c r="F294" s="212">
        <f t="shared" si="28"/>
        <v>0.5</v>
      </c>
      <c r="G294" s="212">
        <f>5</f>
        <v>5</v>
      </c>
      <c r="H294" s="212">
        <f>60</f>
        <v>60</v>
      </c>
      <c r="I294" s="212">
        <f t="shared" si="29"/>
        <v>0.9</v>
      </c>
      <c r="J294" s="212">
        <f>1</f>
        <v>1</v>
      </c>
      <c r="K294" s="212">
        <f t="shared" si="30"/>
        <v>4.1870000000000003</v>
      </c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196"/>
      <c r="AD294" s="27"/>
      <c r="AE294" s="213"/>
      <c r="AF294" s="212">
        <f t="shared" si="31"/>
        <v>4.8080651696572385E-2</v>
      </c>
      <c r="AG294" s="212"/>
      <c r="AH294" s="212"/>
      <c r="AI294" s="212"/>
      <c r="AJ294" s="212"/>
      <c r="AK294" s="212"/>
      <c r="AL294" s="212"/>
      <c r="AM294" s="212"/>
      <c r="AN294" s="212"/>
      <c r="AO294" s="212"/>
      <c r="AP294" s="196"/>
      <c r="AQ294" s="196"/>
      <c r="AR294" s="211"/>
      <c r="AS294" s="212"/>
      <c r="AT294" s="212"/>
      <c r="AU294" s="212"/>
      <c r="AW294" s="58"/>
      <c r="AX294" s="58"/>
      <c r="AY294" s="58"/>
      <c r="AZ294" s="58"/>
    </row>
    <row r="295" spans="1:52" s="185" customFormat="1" ht="15" customHeight="1" x14ac:dyDescent="0.25">
      <c r="A295" s="200"/>
      <c r="B295" s="211"/>
      <c r="C295" s="212">
        <f t="shared" si="26"/>
        <v>28.400000000000134</v>
      </c>
      <c r="D295" s="231">
        <f>15+[2]!STEPLOAD(5)</f>
        <v>20</v>
      </c>
      <c r="E295" s="212">
        <f t="shared" si="27"/>
        <v>45.318126219806508</v>
      </c>
      <c r="F295" s="212">
        <f t="shared" si="28"/>
        <v>0.5</v>
      </c>
      <c r="G295" s="212">
        <f>5</f>
        <v>5</v>
      </c>
      <c r="H295" s="212">
        <f>60</f>
        <v>60</v>
      </c>
      <c r="I295" s="212">
        <f t="shared" si="29"/>
        <v>0.9</v>
      </c>
      <c r="J295" s="212">
        <f>1</f>
        <v>1</v>
      </c>
      <c r="K295" s="212">
        <f t="shared" si="30"/>
        <v>4.1870000000000003</v>
      </c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212"/>
      <c r="Y295" s="212"/>
      <c r="Z295" s="212"/>
      <c r="AA295" s="212"/>
      <c r="AB295" s="212"/>
      <c r="AC295" s="196"/>
      <c r="AD295" s="27"/>
      <c r="AE295" s="213"/>
      <c r="AF295" s="212">
        <f t="shared" si="31"/>
        <v>4.7599845179607136E-2</v>
      </c>
      <c r="AG295" s="212"/>
      <c r="AH295" s="212"/>
      <c r="AI295" s="212"/>
      <c r="AJ295" s="212"/>
      <c r="AK295" s="212"/>
      <c r="AL295" s="212"/>
      <c r="AM295" s="212"/>
      <c r="AN295" s="212"/>
      <c r="AO295" s="212"/>
      <c r="AP295" s="196"/>
      <c r="AQ295" s="196"/>
      <c r="AR295" s="211"/>
      <c r="AS295" s="212"/>
      <c r="AT295" s="212"/>
      <c r="AU295" s="212"/>
      <c r="AW295" s="58"/>
      <c r="AX295" s="58"/>
      <c r="AY295" s="58"/>
      <c r="AZ295" s="58"/>
    </row>
    <row r="296" spans="1:52" s="185" customFormat="1" ht="15" customHeight="1" x14ac:dyDescent="0.25">
      <c r="A296" s="200"/>
      <c r="B296" s="211"/>
      <c r="C296" s="212">
        <f t="shared" si="26"/>
        <v>28.500000000000135</v>
      </c>
      <c r="D296" s="231">
        <f>15+[2]!STEPLOAD(5)</f>
        <v>20</v>
      </c>
      <c r="E296" s="212">
        <f t="shared" si="27"/>
        <v>45.322886204324469</v>
      </c>
      <c r="F296" s="212">
        <f t="shared" si="28"/>
        <v>0.5</v>
      </c>
      <c r="G296" s="212">
        <f>5</f>
        <v>5</v>
      </c>
      <c r="H296" s="212">
        <f>60</f>
        <v>60</v>
      </c>
      <c r="I296" s="212">
        <f t="shared" si="29"/>
        <v>0.9</v>
      </c>
      <c r="J296" s="212">
        <f>1</f>
        <v>1</v>
      </c>
      <c r="K296" s="212">
        <f t="shared" si="30"/>
        <v>4.1870000000000003</v>
      </c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212"/>
      <c r="Y296" s="212"/>
      <c r="Z296" s="212"/>
      <c r="AA296" s="212"/>
      <c r="AB296" s="212"/>
      <c r="AC296" s="196"/>
      <c r="AD296" s="27"/>
      <c r="AE296" s="213"/>
      <c r="AF296" s="212">
        <f t="shared" si="31"/>
        <v>4.7123846727811003E-2</v>
      </c>
      <c r="AG296" s="212"/>
      <c r="AH296" s="212"/>
      <c r="AI296" s="212"/>
      <c r="AJ296" s="212"/>
      <c r="AK296" s="212"/>
      <c r="AL296" s="212"/>
      <c r="AM296" s="212"/>
      <c r="AN296" s="212"/>
      <c r="AO296" s="212"/>
      <c r="AP296" s="196"/>
      <c r="AQ296" s="196"/>
      <c r="AR296" s="211"/>
      <c r="AS296" s="212"/>
      <c r="AT296" s="212"/>
      <c r="AU296" s="212"/>
      <c r="AW296" s="58"/>
      <c r="AX296" s="58"/>
      <c r="AY296" s="58"/>
      <c r="AZ296" s="58"/>
    </row>
    <row r="297" spans="1:52" s="185" customFormat="1" ht="15" customHeight="1" x14ac:dyDescent="0.25">
      <c r="A297" s="200"/>
      <c r="B297" s="211"/>
      <c r="C297" s="212">
        <f t="shared" si="26"/>
        <v>28.600000000000136</v>
      </c>
      <c r="D297" s="231">
        <f>15+[2]!STEPLOAD(5)</f>
        <v>20</v>
      </c>
      <c r="E297" s="212">
        <f t="shared" si="27"/>
        <v>45.327598588997247</v>
      </c>
      <c r="F297" s="212">
        <f t="shared" si="28"/>
        <v>0.5</v>
      </c>
      <c r="G297" s="212">
        <f>5</f>
        <v>5</v>
      </c>
      <c r="H297" s="212">
        <f>60</f>
        <v>60</v>
      </c>
      <c r="I297" s="212">
        <f t="shared" si="29"/>
        <v>0.9</v>
      </c>
      <c r="J297" s="212">
        <f>1</f>
        <v>1</v>
      </c>
      <c r="K297" s="212">
        <f t="shared" si="30"/>
        <v>4.1870000000000003</v>
      </c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  <c r="AA297" s="212"/>
      <c r="AB297" s="212"/>
      <c r="AC297" s="196"/>
      <c r="AD297" s="27"/>
      <c r="AE297" s="213"/>
      <c r="AF297" s="212">
        <f t="shared" si="31"/>
        <v>4.6652608260532968E-2</v>
      </c>
      <c r="AG297" s="212"/>
      <c r="AH297" s="212"/>
      <c r="AI297" s="212"/>
      <c r="AJ297" s="212"/>
      <c r="AK297" s="212"/>
      <c r="AL297" s="212"/>
      <c r="AM297" s="212"/>
      <c r="AN297" s="212"/>
      <c r="AO297" s="212"/>
      <c r="AP297" s="196"/>
      <c r="AQ297" s="196"/>
      <c r="AR297" s="211"/>
      <c r="AS297" s="212"/>
      <c r="AT297" s="212"/>
      <c r="AU297" s="212"/>
      <c r="AW297" s="58"/>
      <c r="AX297" s="58"/>
      <c r="AY297" s="58"/>
      <c r="AZ297" s="58"/>
    </row>
    <row r="298" spans="1:52" s="185" customFormat="1" ht="15" customHeight="1" x14ac:dyDescent="0.25">
      <c r="A298" s="200"/>
      <c r="B298" s="211"/>
      <c r="C298" s="212">
        <f t="shared" si="26"/>
        <v>28.700000000000138</v>
      </c>
      <c r="D298" s="231">
        <f>15+[2]!STEPLOAD(5)</f>
        <v>20</v>
      </c>
      <c r="E298" s="212">
        <f t="shared" si="27"/>
        <v>45.332263849823299</v>
      </c>
      <c r="F298" s="212">
        <f t="shared" si="28"/>
        <v>0.5</v>
      </c>
      <c r="G298" s="212">
        <f>5</f>
        <v>5</v>
      </c>
      <c r="H298" s="212">
        <f>60</f>
        <v>60</v>
      </c>
      <c r="I298" s="212">
        <f t="shared" si="29"/>
        <v>0.9</v>
      </c>
      <c r="J298" s="212">
        <f>1</f>
        <v>1</v>
      </c>
      <c r="K298" s="212">
        <f t="shared" si="30"/>
        <v>4.1870000000000003</v>
      </c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212"/>
      <c r="Y298" s="212"/>
      <c r="Z298" s="212"/>
      <c r="AA298" s="212"/>
      <c r="AB298" s="212"/>
      <c r="AC298" s="196"/>
      <c r="AD298" s="27"/>
      <c r="AE298" s="213"/>
      <c r="AF298" s="212">
        <f t="shared" si="31"/>
        <v>4.6186082177928078E-2</v>
      </c>
      <c r="AG298" s="212"/>
      <c r="AH298" s="212"/>
      <c r="AI298" s="212"/>
      <c r="AJ298" s="212"/>
      <c r="AK298" s="212"/>
      <c r="AL298" s="212"/>
      <c r="AM298" s="212"/>
      <c r="AN298" s="212"/>
      <c r="AO298" s="212"/>
      <c r="AP298" s="196"/>
      <c r="AQ298" s="196"/>
      <c r="AR298" s="211"/>
      <c r="AS298" s="212"/>
      <c r="AT298" s="212"/>
      <c r="AU298" s="212"/>
      <c r="AW298" s="58"/>
      <c r="AX298" s="58"/>
      <c r="AY298" s="58"/>
      <c r="AZ298" s="58"/>
    </row>
    <row r="299" spans="1:52" s="185" customFormat="1" ht="15" customHeight="1" x14ac:dyDescent="0.25">
      <c r="A299" s="200"/>
      <c r="B299" s="211"/>
      <c r="C299" s="212">
        <f t="shared" si="26"/>
        <v>28.800000000000139</v>
      </c>
      <c r="D299" s="231">
        <f>15+[2]!STEPLOAD(5)</f>
        <v>20</v>
      </c>
      <c r="E299" s="212">
        <f t="shared" si="27"/>
        <v>45.336882458041089</v>
      </c>
      <c r="F299" s="212">
        <f t="shared" si="28"/>
        <v>0.5</v>
      </c>
      <c r="G299" s="212">
        <f>5</f>
        <v>5</v>
      </c>
      <c r="H299" s="212">
        <f>60</f>
        <v>60</v>
      </c>
      <c r="I299" s="212">
        <f t="shared" si="29"/>
        <v>0.9</v>
      </c>
      <c r="J299" s="212">
        <f>1</f>
        <v>1</v>
      </c>
      <c r="K299" s="212">
        <f t="shared" si="30"/>
        <v>4.1870000000000003</v>
      </c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212"/>
      <c r="Y299" s="212"/>
      <c r="Z299" s="212"/>
      <c r="AA299" s="212"/>
      <c r="AB299" s="212"/>
      <c r="AC299" s="196"/>
      <c r="AD299" s="27"/>
      <c r="AE299" s="213"/>
      <c r="AF299" s="212">
        <f t="shared" si="31"/>
        <v>4.5724221356148842E-2</v>
      </c>
      <c r="AG299" s="212"/>
      <c r="AH299" s="212"/>
      <c r="AI299" s="212"/>
      <c r="AJ299" s="212"/>
      <c r="AK299" s="212"/>
      <c r="AL299" s="212"/>
      <c r="AM299" s="212"/>
      <c r="AN299" s="212"/>
      <c r="AO299" s="212"/>
      <c r="AP299" s="196"/>
      <c r="AQ299" s="196"/>
      <c r="AR299" s="211"/>
      <c r="AS299" s="212"/>
      <c r="AT299" s="212"/>
      <c r="AU299" s="212"/>
      <c r="AW299" s="58"/>
      <c r="AX299" s="58"/>
      <c r="AY299" s="58"/>
      <c r="AZ299" s="58"/>
    </row>
    <row r="300" spans="1:52" s="185" customFormat="1" ht="15" customHeight="1" x14ac:dyDescent="0.25">
      <c r="A300" s="200"/>
      <c r="B300" s="211"/>
      <c r="C300" s="212">
        <f t="shared" si="26"/>
        <v>28.900000000000141</v>
      </c>
      <c r="D300" s="231">
        <f>15+[2]!STEPLOAD(5)</f>
        <v>20</v>
      </c>
      <c r="E300" s="212">
        <f t="shared" si="27"/>
        <v>45.341454880176705</v>
      </c>
      <c r="F300" s="212">
        <f t="shared" si="28"/>
        <v>0.5</v>
      </c>
      <c r="G300" s="212">
        <f>5</f>
        <v>5</v>
      </c>
      <c r="H300" s="212">
        <f>60</f>
        <v>60</v>
      </c>
      <c r="I300" s="212">
        <f t="shared" si="29"/>
        <v>0.9</v>
      </c>
      <c r="J300" s="212">
        <f>1</f>
        <v>1</v>
      </c>
      <c r="K300" s="212">
        <f t="shared" si="30"/>
        <v>4.1870000000000003</v>
      </c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196"/>
      <c r="AD300" s="27"/>
      <c r="AE300" s="213"/>
      <c r="AF300" s="212">
        <f t="shared" si="31"/>
        <v>4.526697914258726E-2</v>
      </c>
      <c r="AG300" s="212"/>
      <c r="AH300" s="212"/>
      <c r="AI300" s="212"/>
      <c r="AJ300" s="212"/>
      <c r="AK300" s="212"/>
      <c r="AL300" s="212"/>
      <c r="AM300" s="212"/>
      <c r="AN300" s="212"/>
      <c r="AO300" s="212"/>
      <c r="AP300" s="196"/>
      <c r="AQ300" s="196"/>
      <c r="AR300" s="211"/>
      <c r="AS300" s="212"/>
      <c r="AT300" s="212"/>
      <c r="AU300" s="212"/>
      <c r="AW300" s="58"/>
      <c r="AX300" s="58"/>
      <c r="AY300" s="58"/>
      <c r="AZ300" s="58"/>
    </row>
    <row r="301" spans="1:52" s="185" customFormat="1" ht="15" customHeight="1" x14ac:dyDescent="0.25">
      <c r="A301" s="200"/>
      <c r="B301" s="211"/>
      <c r="C301" s="212">
        <f t="shared" si="26"/>
        <v>29.000000000000142</v>
      </c>
      <c r="D301" s="231">
        <f>15+[2]!STEPLOAD(5)</f>
        <v>20</v>
      </c>
      <c r="E301" s="212">
        <f t="shared" si="27"/>
        <v>45.345981578090964</v>
      </c>
      <c r="F301" s="212">
        <f t="shared" si="28"/>
        <v>0.5</v>
      </c>
      <c r="G301" s="212">
        <f>5</f>
        <v>5</v>
      </c>
      <c r="H301" s="212">
        <f>60</f>
        <v>60</v>
      </c>
      <c r="I301" s="212">
        <f t="shared" si="29"/>
        <v>0.9</v>
      </c>
      <c r="J301" s="212">
        <f>1</f>
        <v>1</v>
      </c>
      <c r="K301" s="212">
        <f t="shared" si="30"/>
        <v>4.1870000000000003</v>
      </c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212"/>
      <c r="Y301" s="212"/>
      <c r="Z301" s="212"/>
      <c r="AA301" s="212"/>
      <c r="AB301" s="212"/>
      <c r="AC301" s="196"/>
      <c r="AD301" s="27"/>
      <c r="AE301" s="213"/>
      <c r="AF301" s="212">
        <f t="shared" si="31"/>
        <v>4.4814309351161707E-2</v>
      </c>
      <c r="AG301" s="212"/>
      <c r="AH301" s="212"/>
      <c r="AI301" s="212"/>
      <c r="AJ301" s="212"/>
      <c r="AK301" s="212"/>
      <c r="AL301" s="212"/>
      <c r="AM301" s="212"/>
      <c r="AN301" s="212"/>
      <c r="AO301" s="212"/>
      <c r="AP301" s="196"/>
      <c r="AQ301" s="196"/>
      <c r="AR301" s="211"/>
      <c r="AS301" s="212"/>
      <c r="AT301" s="212"/>
      <c r="AU301" s="212"/>
      <c r="AW301" s="58"/>
      <c r="AX301" s="58"/>
      <c r="AY301" s="58"/>
      <c r="AZ301" s="58"/>
    </row>
    <row r="302" spans="1:52" s="185" customFormat="1" ht="15" customHeight="1" x14ac:dyDescent="0.25">
      <c r="A302" s="200"/>
      <c r="B302" s="211"/>
      <c r="C302" s="212">
        <f t="shared" si="26"/>
        <v>29.100000000000144</v>
      </c>
      <c r="D302" s="231">
        <f>15+[2]!STEPLOAD(5)</f>
        <v>20</v>
      </c>
      <c r="E302" s="212">
        <f t="shared" si="27"/>
        <v>45.350463009026079</v>
      </c>
      <c r="F302" s="212">
        <f t="shared" si="28"/>
        <v>0.5</v>
      </c>
      <c r="G302" s="212">
        <f>5</f>
        <v>5</v>
      </c>
      <c r="H302" s="212">
        <f>60</f>
        <v>60</v>
      </c>
      <c r="I302" s="212">
        <f t="shared" si="29"/>
        <v>0.9</v>
      </c>
      <c r="J302" s="212">
        <f>1</f>
        <v>1</v>
      </c>
      <c r="K302" s="212">
        <f t="shared" si="30"/>
        <v>4.1870000000000003</v>
      </c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212"/>
      <c r="Y302" s="212"/>
      <c r="Z302" s="212"/>
      <c r="AA302" s="212"/>
      <c r="AB302" s="212"/>
      <c r="AC302" s="196"/>
      <c r="AD302" s="27"/>
      <c r="AE302" s="213"/>
      <c r="AF302" s="212">
        <f t="shared" si="31"/>
        <v>4.4366166257649997E-2</v>
      </c>
      <c r="AG302" s="212"/>
      <c r="AH302" s="212"/>
      <c r="AI302" s="212"/>
      <c r="AJ302" s="212"/>
      <c r="AK302" s="212"/>
      <c r="AL302" s="212"/>
      <c r="AM302" s="212"/>
      <c r="AN302" s="212"/>
      <c r="AO302" s="212"/>
      <c r="AP302" s="196"/>
      <c r="AQ302" s="196"/>
      <c r="AR302" s="211"/>
      <c r="AS302" s="212"/>
      <c r="AT302" s="212"/>
      <c r="AU302" s="212"/>
      <c r="AW302" s="58"/>
      <c r="AX302" s="58"/>
      <c r="AY302" s="58"/>
      <c r="AZ302" s="58"/>
    </row>
    <row r="303" spans="1:52" s="185" customFormat="1" ht="15" customHeight="1" x14ac:dyDescent="0.25">
      <c r="A303" s="200"/>
      <c r="B303" s="211"/>
      <c r="C303" s="212">
        <f t="shared" si="26"/>
        <v>29.200000000000145</v>
      </c>
      <c r="D303" s="231">
        <f>15+[2]!STEPLOAD(5)</f>
        <v>20</v>
      </c>
      <c r="E303" s="212">
        <f t="shared" si="27"/>
        <v>45.354899625651846</v>
      </c>
      <c r="F303" s="212">
        <f t="shared" si="28"/>
        <v>0.5</v>
      </c>
      <c r="G303" s="212">
        <f>5</f>
        <v>5</v>
      </c>
      <c r="H303" s="212">
        <f>60</f>
        <v>60</v>
      </c>
      <c r="I303" s="212">
        <f t="shared" si="29"/>
        <v>0.9</v>
      </c>
      <c r="J303" s="212">
        <f>1</f>
        <v>1</v>
      </c>
      <c r="K303" s="212">
        <f t="shared" si="30"/>
        <v>4.1870000000000003</v>
      </c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  <c r="AA303" s="212"/>
      <c r="AB303" s="212"/>
      <c r="AC303" s="196"/>
      <c r="AD303" s="27"/>
      <c r="AE303" s="213"/>
      <c r="AF303" s="212">
        <f t="shared" si="31"/>
        <v>4.3922504595073075E-2</v>
      </c>
      <c r="AG303" s="212"/>
      <c r="AH303" s="212"/>
      <c r="AI303" s="212"/>
      <c r="AJ303" s="212"/>
      <c r="AK303" s="212"/>
      <c r="AL303" s="212"/>
      <c r="AM303" s="212"/>
      <c r="AN303" s="212"/>
      <c r="AO303" s="212"/>
      <c r="AP303" s="196"/>
      <c r="AQ303" s="196"/>
      <c r="AR303" s="211"/>
      <c r="AS303" s="212"/>
      <c r="AT303" s="212"/>
      <c r="AU303" s="212"/>
      <c r="AW303" s="58"/>
      <c r="AX303" s="58"/>
      <c r="AY303" s="58"/>
      <c r="AZ303" s="58"/>
    </row>
    <row r="304" spans="1:52" s="185" customFormat="1" ht="15" customHeight="1" x14ac:dyDescent="0.25">
      <c r="A304" s="200"/>
      <c r="B304" s="211"/>
      <c r="C304" s="212">
        <f t="shared" si="26"/>
        <v>29.300000000000146</v>
      </c>
      <c r="D304" s="231">
        <f>15+[2]!STEPLOAD(5)</f>
        <v>20</v>
      </c>
      <c r="E304" s="212">
        <f t="shared" si="27"/>
        <v>45.359291876111357</v>
      </c>
      <c r="F304" s="212">
        <f t="shared" si="28"/>
        <v>0.5</v>
      </c>
      <c r="G304" s="212">
        <f>5</f>
        <v>5</v>
      </c>
      <c r="H304" s="212">
        <f>60</f>
        <v>60</v>
      </c>
      <c r="I304" s="212">
        <f t="shared" si="29"/>
        <v>0.9</v>
      </c>
      <c r="J304" s="212">
        <f>1</f>
        <v>1</v>
      </c>
      <c r="K304" s="212">
        <f t="shared" si="30"/>
        <v>4.1870000000000003</v>
      </c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212"/>
      <c r="Y304" s="212"/>
      <c r="Z304" s="212"/>
      <c r="AA304" s="212"/>
      <c r="AB304" s="212"/>
      <c r="AC304" s="196"/>
      <c r="AD304" s="27"/>
      <c r="AE304" s="213"/>
      <c r="AF304" s="212">
        <f t="shared" si="31"/>
        <v>4.3483279549122233E-2</v>
      </c>
      <c r="AG304" s="212"/>
      <c r="AH304" s="212"/>
      <c r="AI304" s="212"/>
      <c r="AJ304" s="212"/>
      <c r="AK304" s="212"/>
      <c r="AL304" s="212"/>
      <c r="AM304" s="212"/>
      <c r="AN304" s="212"/>
      <c r="AO304" s="212"/>
      <c r="AP304" s="196"/>
      <c r="AQ304" s="196"/>
      <c r="AR304" s="211"/>
      <c r="AS304" s="212"/>
      <c r="AT304" s="212"/>
      <c r="AU304" s="212"/>
      <c r="AW304" s="58"/>
      <c r="AX304" s="58"/>
      <c r="AY304" s="58"/>
      <c r="AZ304" s="58"/>
    </row>
    <row r="305" spans="1:52" s="185" customFormat="1" ht="15" customHeight="1" x14ac:dyDescent="0.25">
      <c r="A305" s="200"/>
      <c r="B305" s="211"/>
      <c r="C305" s="212">
        <f t="shared" si="26"/>
        <v>29.400000000000148</v>
      </c>
      <c r="D305" s="231">
        <f>15+[2]!STEPLOAD(5)</f>
        <v>20</v>
      </c>
      <c r="E305" s="212">
        <f t="shared" si="27"/>
        <v>45.363640204066272</v>
      </c>
      <c r="F305" s="212">
        <f t="shared" si="28"/>
        <v>0.5</v>
      </c>
      <c r="G305" s="212">
        <f>5</f>
        <v>5</v>
      </c>
      <c r="H305" s="212">
        <f>60</f>
        <v>60</v>
      </c>
      <c r="I305" s="212">
        <f t="shared" si="29"/>
        <v>0.9</v>
      </c>
      <c r="J305" s="212">
        <f>1</f>
        <v>1</v>
      </c>
      <c r="K305" s="212">
        <f t="shared" si="30"/>
        <v>4.1870000000000003</v>
      </c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212"/>
      <c r="Y305" s="212"/>
      <c r="Z305" s="212"/>
      <c r="AA305" s="212"/>
      <c r="AB305" s="212"/>
      <c r="AC305" s="196"/>
      <c r="AD305" s="27"/>
      <c r="AE305" s="213"/>
      <c r="AF305" s="212">
        <f t="shared" si="31"/>
        <v>4.3048446753630731E-2</v>
      </c>
      <c r="AG305" s="212"/>
      <c r="AH305" s="212"/>
      <c r="AI305" s="212"/>
      <c r="AJ305" s="212"/>
      <c r="AK305" s="212"/>
      <c r="AL305" s="212"/>
      <c r="AM305" s="212"/>
      <c r="AN305" s="212"/>
      <c r="AO305" s="212"/>
      <c r="AP305" s="196"/>
      <c r="AQ305" s="196"/>
      <c r="AR305" s="211"/>
      <c r="AS305" s="212"/>
      <c r="AT305" s="212"/>
      <c r="AU305" s="212"/>
      <c r="AW305" s="58"/>
      <c r="AX305" s="58"/>
      <c r="AY305" s="58"/>
      <c r="AZ305" s="58"/>
    </row>
    <row r="306" spans="1:52" s="185" customFormat="1" ht="15" customHeight="1" x14ac:dyDescent="0.25">
      <c r="A306" s="200"/>
      <c r="B306" s="211"/>
      <c r="C306" s="212">
        <f t="shared" si="26"/>
        <v>29.500000000000149</v>
      </c>
      <c r="D306" s="231">
        <f>15+[2]!STEPLOAD(5)</f>
        <v>20</v>
      </c>
      <c r="E306" s="212">
        <f t="shared" si="27"/>
        <v>45.367945048741632</v>
      </c>
      <c r="F306" s="212">
        <f t="shared" si="28"/>
        <v>0.5</v>
      </c>
      <c r="G306" s="212">
        <f>5</f>
        <v>5</v>
      </c>
      <c r="H306" s="212">
        <f>60</f>
        <v>60</v>
      </c>
      <c r="I306" s="212">
        <f t="shared" si="29"/>
        <v>0.9</v>
      </c>
      <c r="J306" s="212">
        <f>1</f>
        <v>1</v>
      </c>
      <c r="K306" s="212">
        <f t="shared" si="30"/>
        <v>4.1870000000000003</v>
      </c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  <c r="AA306" s="212"/>
      <c r="AB306" s="212"/>
      <c r="AC306" s="196"/>
      <c r="AD306" s="27"/>
      <c r="AE306" s="213"/>
      <c r="AF306" s="212">
        <f t="shared" si="31"/>
        <v>4.2617962286094713E-2</v>
      </c>
      <c r="AG306" s="212"/>
      <c r="AH306" s="212"/>
      <c r="AI306" s="212"/>
      <c r="AJ306" s="212"/>
      <c r="AK306" s="212"/>
      <c r="AL306" s="212"/>
      <c r="AM306" s="212"/>
      <c r="AN306" s="212"/>
      <c r="AO306" s="212"/>
      <c r="AP306" s="196"/>
      <c r="AQ306" s="196"/>
      <c r="AR306" s="211"/>
      <c r="AS306" s="212"/>
      <c r="AT306" s="212"/>
      <c r="AU306" s="212"/>
      <c r="AW306" s="58"/>
      <c r="AX306" s="58"/>
      <c r="AY306" s="58"/>
      <c r="AZ306" s="58"/>
    </row>
    <row r="307" spans="1:52" s="185" customFormat="1" ht="15" customHeight="1" x14ac:dyDescent="0.25">
      <c r="A307" s="200"/>
      <c r="B307" s="211"/>
      <c r="C307" s="212">
        <f t="shared" si="26"/>
        <v>29.600000000000151</v>
      </c>
      <c r="D307" s="231">
        <f>15+[2]!STEPLOAD(5)</f>
        <v>20</v>
      </c>
      <c r="E307" s="212">
        <f t="shared" si="27"/>
        <v>45.372206844970243</v>
      </c>
      <c r="F307" s="212">
        <f t="shared" si="28"/>
        <v>0.5</v>
      </c>
      <c r="G307" s="212">
        <f>5</f>
        <v>5</v>
      </c>
      <c r="H307" s="212">
        <f>60</f>
        <v>60</v>
      </c>
      <c r="I307" s="212">
        <f t="shared" si="29"/>
        <v>0.9</v>
      </c>
      <c r="J307" s="212">
        <f>1</f>
        <v>1</v>
      </c>
      <c r="K307" s="212">
        <f t="shared" si="30"/>
        <v>4.1870000000000003</v>
      </c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  <c r="AA307" s="212"/>
      <c r="AB307" s="212"/>
      <c r="AC307" s="196"/>
      <c r="AD307" s="27"/>
      <c r="AE307" s="213"/>
      <c r="AF307" s="212">
        <f t="shared" si="31"/>
        <v>4.2191782663233646E-2</v>
      </c>
      <c r="AG307" s="212"/>
      <c r="AH307" s="212"/>
      <c r="AI307" s="212"/>
      <c r="AJ307" s="212"/>
      <c r="AK307" s="212"/>
      <c r="AL307" s="212"/>
      <c r="AM307" s="212"/>
      <c r="AN307" s="212"/>
      <c r="AO307" s="212"/>
      <c r="AP307" s="196"/>
      <c r="AQ307" s="196"/>
      <c r="AR307" s="211"/>
      <c r="AS307" s="212"/>
      <c r="AT307" s="212"/>
      <c r="AU307" s="212"/>
      <c r="AW307" s="58"/>
      <c r="AX307" s="58"/>
      <c r="AY307" s="58"/>
      <c r="AZ307" s="58"/>
    </row>
    <row r="308" spans="1:52" s="185" customFormat="1" ht="15" customHeight="1" x14ac:dyDescent="0.25">
      <c r="A308" s="200"/>
      <c r="B308" s="211"/>
      <c r="C308" s="212">
        <f t="shared" si="26"/>
        <v>29.700000000000152</v>
      </c>
      <c r="D308" s="231">
        <f>15+[2]!STEPLOAD(5)</f>
        <v>20</v>
      </c>
      <c r="E308" s="212">
        <f t="shared" si="27"/>
        <v>45.376426023236569</v>
      </c>
      <c r="F308" s="212">
        <f t="shared" si="28"/>
        <v>0.5</v>
      </c>
      <c r="G308" s="212">
        <f>5</f>
        <v>5</v>
      </c>
      <c r="H308" s="212">
        <f>60</f>
        <v>60</v>
      </c>
      <c r="I308" s="212">
        <f t="shared" si="29"/>
        <v>0.9</v>
      </c>
      <c r="J308" s="212">
        <f>1</f>
        <v>1</v>
      </c>
      <c r="K308" s="212">
        <f t="shared" si="30"/>
        <v>4.1870000000000003</v>
      </c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212"/>
      <c r="Y308" s="212"/>
      <c r="Z308" s="212"/>
      <c r="AA308" s="212"/>
      <c r="AB308" s="212"/>
      <c r="AC308" s="196"/>
      <c r="AD308" s="27"/>
      <c r="AE308" s="213"/>
      <c r="AF308" s="212">
        <f t="shared" si="31"/>
        <v>4.1769864836600945E-2</v>
      </c>
      <c r="AG308" s="212"/>
      <c r="AH308" s="212"/>
      <c r="AI308" s="212"/>
      <c r="AJ308" s="212"/>
      <c r="AK308" s="212"/>
      <c r="AL308" s="212"/>
      <c r="AM308" s="212"/>
      <c r="AN308" s="212"/>
      <c r="AO308" s="212"/>
      <c r="AP308" s="196"/>
      <c r="AQ308" s="196"/>
      <c r="AR308" s="211"/>
      <c r="AS308" s="212"/>
      <c r="AT308" s="212"/>
      <c r="AU308" s="212"/>
      <c r="AW308" s="58"/>
      <c r="AX308" s="58"/>
      <c r="AY308" s="58"/>
      <c r="AZ308" s="58"/>
    </row>
    <row r="309" spans="1:52" s="185" customFormat="1" ht="15" customHeight="1" x14ac:dyDescent="0.25">
      <c r="A309" s="200"/>
      <c r="B309" s="211"/>
      <c r="C309" s="212">
        <f t="shared" si="26"/>
        <v>29.800000000000153</v>
      </c>
      <c r="D309" s="231">
        <f>15+[2]!STEPLOAD(5)</f>
        <v>20</v>
      </c>
      <c r="E309" s="212">
        <f t="shared" si="27"/>
        <v>45.380603009720225</v>
      </c>
      <c r="F309" s="212">
        <f t="shared" si="28"/>
        <v>0.5</v>
      </c>
      <c r="G309" s="212">
        <f>5</f>
        <v>5</v>
      </c>
      <c r="H309" s="212">
        <f>60</f>
        <v>60</v>
      </c>
      <c r="I309" s="212">
        <f t="shared" si="29"/>
        <v>0.9</v>
      </c>
      <c r="J309" s="212">
        <f>1</f>
        <v>1</v>
      </c>
      <c r="K309" s="212">
        <f t="shared" si="30"/>
        <v>4.1870000000000003</v>
      </c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212"/>
      <c r="Y309" s="212"/>
      <c r="Z309" s="212"/>
      <c r="AA309" s="212"/>
      <c r="AB309" s="212"/>
      <c r="AC309" s="196"/>
      <c r="AD309" s="27"/>
      <c r="AE309" s="213"/>
      <c r="AF309" s="212">
        <f t="shared" si="31"/>
        <v>4.1352166188235451E-2</v>
      </c>
      <c r="AG309" s="212"/>
      <c r="AH309" s="212"/>
      <c r="AI309" s="212"/>
      <c r="AJ309" s="212"/>
      <c r="AK309" s="212"/>
      <c r="AL309" s="212"/>
      <c r="AM309" s="212"/>
      <c r="AN309" s="212"/>
      <c r="AO309" s="212"/>
      <c r="AP309" s="196"/>
      <c r="AQ309" s="196"/>
      <c r="AR309" s="211"/>
      <c r="AS309" s="212"/>
      <c r="AT309" s="212"/>
      <c r="AU309" s="212"/>
      <c r="AW309" s="58"/>
      <c r="AX309" s="58"/>
      <c r="AY309" s="58"/>
      <c r="AZ309" s="58"/>
    </row>
    <row r="310" spans="1:52" s="185" customFormat="1" ht="15" customHeight="1" x14ac:dyDescent="0.25">
      <c r="A310" s="200"/>
      <c r="B310" s="211"/>
      <c r="C310" s="212">
        <f t="shared" si="26"/>
        <v>29.900000000000155</v>
      </c>
      <c r="D310" s="231">
        <f>15+[2]!STEPLOAD(5)</f>
        <v>20</v>
      </c>
      <c r="E310" s="212">
        <f t="shared" si="27"/>
        <v>45.384738226339046</v>
      </c>
      <c r="F310" s="212">
        <f t="shared" si="28"/>
        <v>0.5</v>
      </c>
      <c r="G310" s="212">
        <f>5</f>
        <v>5</v>
      </c>
      <c r="H310" s="212">
        <f>60</f>
        <v>60</v>
      </c>
      <c r="I310" s="212">
        <f t="shared" si="29"/>
        <v>0.9</v>
      </c>
      <c r="J310" s="212">
        <f>1</f>
        <v>1</v>
      </c>
      <c r="K310" s="212">
        <f t="shared" si="30"/>
        <v>4.1870000000000003</v>
      </c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212"/>
      <c r="Y310" s="212"/>
      <c r="Z310" s="212"/>
      <c r="AA310" s="212"/>
      <c r="AB310" s="212"/>
      <c r="AC310" s="196"/>
      <c r="AD310" s="27"/>
      <c r="AE310" s="213"/>
      <c r="AF310" s="212">
        <f t="shared" si="31"/>
        <v>4.0938644526353318E-2</v>
      </c>
      <c r="AG310" s="212"/>
      <c r="AH310" s="212"/>
      <c r="AI310" s="212"/>
      <c r="AJ310" s="212"/>
      <c r="AK310" s="212"/>
      <c r="AL310" s="212"/>
      <c r="AM310" s="212"/>
      <c r="AN310" s="212"/>
      <c r="AO310" s="212"/>
      <c r="AP310" s="196"/>
      <c r="AQ310" s="196"/>
      <c r="AR310" s="211"/>
      <c r="AS310" s="212"/>
      <c r="AT310" s="212"/>
      <c r="AU310" s="212"/>
      <c r="AW310" s="58"/>
      <c r="AX310" s="58"/>
      <c r="AY310" s="58"/>
      <c r="AZ310" s="58"/>
    </row>
    <row r="311" spans="1:52" s="185" customFormat="1" ht="15" customHeight="1" x14ac:dyDescent="0.25">
      <c r="A311" s="200"/>
      <c r="B311" s="211"/>
      <c r="C311" s="212">
        <f t="shared" si="26"/>
        <v>30.000000000000156</v>
      </c>
      <c r="D311" s="231">
        <f>15+[2]!STEPLOAD(5)</f>
        <v>20</v>
      </c>
      <c r="E311" s="212">
        <f t="shared" si="27"/>
        <v>45.388832090791681</v>
      </c>
      <c r="F311" s="212">
        <f t="shared" si="28"/>
        <v>0.5</v>
      </c>
      <c r="G311" s="212">
        <f>5</f>
        <v>5</v>
      </c>
      <c r="H311" s="212">
        <f>60</f>
        <v>60</v>
      </c>
      <c r="I311" s="212">
        <f t="shared" si="29"/>
        <v>0.9</v>
      </c>
      <c r="J311" s="212">
        <f>1</f>
        <v>1</v>
      </c>
      <c r="K311" s="212">
        <f t="shared" si="30"/>
        <v>4.1870000000000003</v>
      </c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212"/>
      <c r="Y311" s="212"/>
      <c r="Z311" s="212"/>
      <c r="AA311" s="212"/>
      <c r="AB311" s="212"/>
      <c r="AC311" s="196"/>
      <c r="AD311" s="27"/>
      <c r="AE311" s="213"/>
      <c r="AF311" s="212">
        <f t="shared" si="31"/>
        <v>4.0529258081089647E-2</v>
      </c>
      <c r="AG311" s="212"/>
      <c r="AH311" s="212"/>
      <c r="AI311" s="212"/>
      <c r="AJ311" s="212"/>
      <c r="AK311" s="212"/>
      <c r="AL311" s="212"/>
      <c r="AM311" s="212"/>
      <c r="AN311" s="212"/>
      <c r="AO311" s="212"/>
      <c r="AP311" s="196"/>
      <c r="AQ311" s="196"/>
      <c r="AR311" s="211"/>
      <c r="AS311" s="212"/>
      <c r="AT311" s="212"/>
      <c r="AU311" s="212"/>
      <c r="AW311" s="58"/>
      <c r="AX311" s="58"/>
      <c r="AY311" s="58"/>
      <c r="AZ311" s="58"/>
    </row>
    <row r="312" spans="1:52" s="185" customFormat="1" ht="15" customHeight="1" x14ac:dyDescent="0.25">
      <c r="A312" s="200"/>
      <c r="B312" s="211"/>
      <c r="C312" s="212">
        <f t="shared" si="26"/>
        <v>30.100000000000158</v>
      </c>
      <c r="D312" s="231">
        <f>15+[2]!STEPLOAD(5)</f>
        <v>20</v>
      </c>
      <c r="E312" s="212">
        <f t="shared" si="27"/>
        <v>45.392885016599791</v>
      </c>
      <c r="F312" s="212">
        <f t="shared" si="28"/>
        <v>0.5</v>
      </c>
      <c r="G312" s="212">
        <f>5</f>
        <v>5</v>
      </c>
      <c r="H312" s="212">
        <f>60</f>
        <v>60</v>
      </c>
      <c r="I312" s="212">
        <f t="shared" si="29"/>
        <v>0.9</v>
      </c>
      <c r="J312" s="212">
        <f>1</f>
        <v>1</v>
      </c>
      <c r="K312" s="212">
        <f t="shared" si="30"/>
        <v>4.1870000000000003</v>
      </c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212"/>
      <c r="Y312" s="212"/>
      <c r="Z312" s="212"/>
      <c r="AA312" s="212"/>
      <c r="AB312" s="212"/>
      <c r="AC312" s="196"/>
      <c r="AD312" s="27"/>
      <c r="AE312" s="213"/>
      <c r="AF312" s="212">
        <f t="shared" si="31"/>
        <v>4.0123965500278747E-2</v>
      </c>
      <c r="AG312" s="212"/>
      <c r="AH312" s="212"/>
      <c r="AI312" s="212"/>
      <c r="AJ312" s="212"/>
      <c r="AK312" s="212"/>
      <c r="AL312" s="212"/>
      <c r="AM312" s="212"/>
      <c r="AN312" s="212"/>
      <c r="AO312" s="212"/>
      <c r="AP312" s="196"/>
      <c r="AQ312" s="196"/>
      <c r="AR312" s="211"/>
      <c r="AS312" s="212"/>
      <c r="AT312" s="212"/>
      <c r="AU312" s="212"/>
      <c r="AW312" s="58"/>
      <c r="AX312" s="58"/>
      <c r="AY312" s="58"/>
      <c r="AZ312" s="58"/>
    </row>
    <row r="313" spans="1:52" s="185" customFormat="1" ht="15" customHeight="1" x14ac:dyDescent="0.25">
      <c r="A313" s="200"/>
      <c r="B313" s="211"/>
      <c r="C313" s="212">
        <f t="shared" si="26"/>
        <v>30.200000000000159</v>
      </c>
      <c r="D313" s="231">
        <f>15+[2]!STEPLOAD(5)</f>
        <v>20</v>
      </c>
      <c r="E313" s="212">
        <f t="shared" si="27"/>
        <v>45.396897413149823</v>
      </c>
      <c r="F313" s="212">
        <f t="shared" si="28"/>
        <v>0.5</v>
      </c>
      <c r="G313" s="212">
        <f>5</f>
        <v>5</v>
      </c>
      <c r="H313" s="212">
        <f>60</f>
        <v>60</v>
      </c>
      <c r="I313" s="212">
        <f t="shared" si="29"/>
        <v>0.9</v>
      </c>
      <c r="J313" s="212">
        <f>1</f>
        <v>1</v>
      </c>
      <c r="K313" s="212">
        <f t="shared" si="30"/>
        <v>4.1870000000000003</v>
      </c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212"/>
      <c r="Y313" s="212"/>
      <c r="Z313" s="212"/>
      <c r="AA313" s="212"/>
      <c r="AB313" s="212"/>
      <c r="AC313" s="196"/>
      <c r="AD313" s="27"/>
      <c r="AE313" s="213"/>
      <c r="AF313" s="212">
        <f t="shared" si="31"/>
        <v>3.9722725845275697E-2</v>
      </c>
      <c r="AG313" s="212"/>
      <c r="AH313" s="212"/>
      <c r="AI313" s="212"/>
      <c r="AJ313" s="212"/>
      <c r="AK313" s="212"/>
      <c r="AL313" s="212"/>
      <c r="AM313" s="212"/>
      <c r="AN313" s="212"/>
      <c r="AO313" s="212"/>
      <c r="AP313" s="196"/>
      <c r="AQ313" s="196"/>
      <c r="AR313" s="211"/>
      <c r="AS313" s="212"/>
      <c r="AT313" s="212"/>
      <c r="AU313" s="212"/>
      <c r="AW313" s="58"/>
      <c r="AX313" s="58"/>
      <c r="AY313" s="58"/>
      <c r="AZ313" s="58"/>
    </row>
    <row r="314" spans="1:52" s="185" customFormat="1" ht="15" customHeight="1" x14ac:dyDescent="0.25">
      <c r="A314" s="200"/>
      <c r="B314" s="211"/>
      <c r="C314" s="212">
        <f t="shared" si="26"/>
        <v>30.300000000000161</v>
      </c>
      <c r="D314" s="231">
        <f>15+[2]!STEPLOAD(5)</f>
        <v>20</v>
      </c>
      <c r="E314" s="212">
        <f t="shared" si="27"/>
        <v>45.400869685734349</v>
      </c>
      <c r="F314" s="212">
        <f t="shared" si="28"/>
        <v>0.5</v>
      </c>
      <c r="G314" s="212">
        <f>5</f>
        <v>5</v>
      </c>
      <c r="H314" s="212">
        <f>60</f>
        <v>60</v>
      </c>
      <c r="I314" s="212">
        <f t="shared" si="29"/>
        <v>0.9</v>
      </c>
      <c r="J314" s="212">
        <f>1</f>
        <v>1</v>
      </c>
      <c r="K314" s="212">
        <f t="shared" si="30"/>
        <v>4.1870000000000003</v>
      </c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212"/>
      <c r="Y314" s="212"/>
      <c r="Z314" s="212"/>
      <c r="AA314" s="212"/>
      <c r="AB314" s="212"/>
      <c r="AC314" s="196"/>
      <c r="AD314" s="27"/>
      <c r="AE314" s="213"/>
      <c r="AF314" s="212">
        <f t="shared" si="31"/>
        <v>3.9325498586822771E-2</v>
      </c>
      <c r="AG314" s="212"/>
      <c r="AH314" s="212"/>
      <c r="AI314" s="212"/>
      <c r="AJ314" s="212"/>
      <c r="AK314" s="212"/>
      <c r="AL314" s="212"/>
      <c r="AM314" s="212"/>
      <c r="AN314" s="212"/>
      <c r="AO314" s="212"/>
      <c r="AP314" s="196"/>
      <c r="AQ314" s="196"/>
      <c r="AR314" s="211"/>
      <c r="AS314" s="212"/>
      <c r="AT314" s="212"/>
      <c r="AU314" s="212"/>
      <c r="AW314" s="58"/>
      <c r="AX314" s="58"/>
      <c r="AY314" s="58"/>
      <c r="AZ314" s="58"/>
    </row>
    <row r="315" spans="1:52" s="185" customFormat="1" ht="15" customHeight="1" x14ac:dyDescent="0.25">
      <c r="A315" s="200"/>
      <c r="B315" s="211"/>
      <c r="C315" s="212">
        <f t="shared" si="26"/>
        <v>30.400000000000162</v>
      </c>
      <c r="D315" s="231">
        <f>15+[2]!STEPLOAD(5)</f>
        <v>20</v>
      </c>
      <c r="E315" s="212">
        <f t="shared" si="27"/>
        <v>45.404802235593031</v>
      </c>
      <c r="F315" s="212">
        <f t="shared" si="28"/>
        <v>0.5</v>
      </c>
      <c r="G315" s="212">
        <f>5</f>
        <v>5</v>
      </c>
      <c r="H315" s="212">
        <f>60</f>
        <v>60</v>
      </c>
      <c r="I315" s="212">
        <f t="shared" si="29"/>
        <v>0.9</v>
      </c>
      <c r="J315" s="212">
        <f>1</f>
        <v>1</v>
      </c>
      <c r="K315" s="212">
        <f t="shared" si="30"/>
        <v>4.1870000000000003</v>
      </c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212"/>
      <c r="Y315" s="212"/>
      <c r="Z315" s="212"/>
      <c r="AA315" s="212"/>
      <c r="AB315" s="212"/>
      <c r="AC315" s="196"/>
      <c r="AD315" s="27"/>
      <c r="AE315" s="213"/>
      <c r="AF315" s="212">
        <f t="shared" si="31"/>
        <v>3.893224360095493E-2</v>
      </c>
      <c r="AG315" s="212"/>
      <c r="AH315" s="212"/>
      <c r="AI315" s="212"/>
      <c r="AJ315" s="212"/>
      <c r="AK315" s="212"/>
      <c r="AL315" s="212"/>
      <c r="AM315" s="212"/>
      <c r="AN315" s="212"/>
      <c r="AO315" s="212"/>
      <c r="AP315" s="196"/>
      <c r="AQ315" s="196"/>
      <c r="AR315" s="211"/>
      <c r="AS315" s="212"/>
      <c r="AT315" s="212"/>
      <c r="AU315" s="212"/>
      <c r="AW315" s="58"/>
      <c r="AX315" s="58"/>
      <c r="AY315" s="58"/>
      <c r="AZ315" s="58"/>
    </row>
    <row r="316" spans="1:52" s="185" customFormat="1" ht="15" customHeight="1" x14ac:dyDescent="0.25">
      <c r="A316" s="200"/>
      <c r="B316" s="211"/>
      <c r="C316" s="212">
        <f t="shared" si="26"/>
        <v>30.500000000000163</v>
      </c>
      <c r="D316" s="231">
        <f>15+[2]!STEPLOAD(5)</f>
        <v>20</v>
      </c>
      <c r="E316" s="212">
        <f t="shared" si="27"/>
        <v>45.40869545995313</v>
      </c>
      <c r="F316" s="212">
        <f t="shared" si="28"/>
        <v>0.5</v>
      </c>
      <c r="G316" s="212">
        <f>5</f>
        <v>5</v>
      </c>
      <c r="H316" s="212">
        <f>60</f>
        <v>60</v>
      </c>
      <c r="I316" s="212">
        <f t="shared" si="29"/>
        <v>0.9</v>
      </c>
      <c r="J316" s="212">
        <f>1</f>
        <v>1</v>
      </c>
      <c r="K316" s="212">
        <f t="shared" si="30"/>
        <v>4.1870000000000003</v>
      </c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212"/>
      <c r="Y316" s="212"/>
      <c r="Z316" s="212"/>
      <c r="AA316" s="212"/>
      <c r="AB316" s="212"/>
      <c r="AC316" s="196"/>
      <c r="AD316" s="27"/>
      <c r="AE316" s="213"/>
      <c r="AF316" s="212">
        <f t="shared" si="31"/>
        <v>3.8542921164944843E-2</v>
      </c>
      <c r="AG316" s="212"/>
      <c r="AH316" s="212"/>
      <c r="AI316" s="212"/>
      <c r="AJ316" s="212"/>
      <c r="AK316" s="212"/>
      <c r="AL316" s="212"/>
      <c r="AM316" s="212"/>
      <c r="AN316" s="212"/>
      <c r="AO316" s="212"/>
      <c r="AP316" s="196"/>
      <c r="AQ316" s="196"/>
      <c r="AR316" s="211"/>
      <c r="AS316" s="212"/>
      <c r="AT316" s="212"/>
      <c r="AU316" s="212"/>
      <c r="AW316" s="58"/>
      <c r="AX316" s="58"/>
      <c r="AY316" s="58"/>
      <c r="AZ316" s="58"/>
    </row>
    <row r="317" spans="1:52" s="185" customFormat="1" ht="15" customHeight="1" x14ac:dyDescent="0.25">
      <c r="A317" s="200"/>
      <c r="B317" s="211"/>
      <c r="C317" s="212">
        <f t="shared" si="26"/>
        <v>30.600000000000165</v>
      </c>
      <c r="D317" s="231">
        <f>15+[2]!STEPLOAD(5)</f>
        <v>20</v>
      </c>
      <c r="E317" s="212">
        <f t="shared" si="27"/>
        <v>45.412549752069623</v>
      </c>
      <c r="F317" s="212">
        <f t="shared" si="28"/>
        <v>0.5</v>
      </c>
      <c r="G317" s="212">
        <f>5</f>
        <v>5</v>
      </c>
      <c r="H317" s="212">
        <f>60</f>
        <v>60</v>
      </c>
      <c r="I317" s="212">
        <f t="shared" si="29"/>
        <v>0.9</v>
      </c>
      <c r="J317" s="212">
        <f>1</f>
        <v>1</v>
      </c>
      <c r="K317" s="212">
        <f t="shared" si="30"/>
        <v>4.1870000000000003</v>
      </c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  <c r="AA317" s="212"/>
      <c r="AB317" s="212"/>
      <c r="AC317" s="196"/>
      <c r="AD317" s="27"/>
      <c r="AE317" s="213"/>
      <c r="AF317" s="212">
        <f t="shared" si="31"/>
        <v>3.815749195329543E-2</v>
      </c>
      <c r="AG317" s="212"/>
      <c r="AH317" s="212"/>
      <c r="AI317" s="212"/>
      <c r="AJ317" s="212"/>
      <c r="AK317" s="212"/>
      <c r="AL317" s="212"/>
      <c r="AM317" s="212"/>
      <c r="AN317" s="212"/>
      <c r="AO317" s="212"/>
      <c r="AP317" s="196"/>
      <c r="AQ317" s="196"/>
      <c r="AR317" s="211"/>
      <c r="AS317" s="212"/>
      <c r="AT317" s="212"/>
      <c r="AU317" s="212"/>
      <c r="AW317" s="58"/>
      <c r="AX317" s="58"/>
      <c r="AY317" s="58"/>
      <c r="AZ317" s="58"/>
    </row>
    <row r="318" spans="1:52" s="185" customFormat="1" ht="15" customHeight="1" x14ac:dyDescent="0.25">
      <c r="A318" s="200"/>
      <c r="B318" s="211"/>
      <c r="C318" s="212">
        <f t="shared" si="26"/>
        <v>30.700000000000166</v>
      </c>
      <c r="D318" s="231">
        <f>15+[2]!STEPLOAD(5)</f>
        <v>20</v>
      </c>
      <c r="E318" s="212">
        <f t="shared" si="27"/>
        <v>45.416365501264956</v>
      </c>
      <c r="F318" s="212">
        <f t="shared" si="28"/>
        <v>0.5</v>
      </c>
      <c r="G318" s="212">
        <f>5</f>
        <v>5</v>
      </c>
      <c r="H318" s="212">
        <f>60</f>
        <v>60</v>
      </c>
      <c r="I318" s="212">
        <f t="shared" si="29"/>
        <v>0.9</v>
      </c>
      <c r="J318" s="212">
        <f>1</f>
        <v>1</v>
      </c>
      <c r="K318" s="212">
        <f t="shared" si="30"/>
        <v>4.1870000000000003</v>
      </c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212"/>
      <c r="Y318" s="212"/>
      <c r="Z318" s="212"/>
      <c r="AA318" s="212"/>
      <c r="AB318" s="212"/>
      <c r="AC318" s="196"/>
      <c r="AD318" s="27"/>
      <c r="AE318" s="213"/>
      <c r="AF318" s="212">
        <f t="shared" si="31"/>
        <v>3.7775917033762152E-2</v>
      </c>
      <c r="AG318" s="212"/>
      <c r="AH318" s="212"/>
      <c r="AI318" s="212"/>
      <c r="AJ318" s="212"/>
      <c r="AK318" s="212"/>
      <c r="AL318" s="212"/>
      <c r="AM318" s="212"/>
      <c r="AN318" s="212"/>
      <c r="AO318" s="212"/>
      <c r="AP318" s="196"/>
      <c r="AQ318" s="196"/>
      <c r="AR318" s="211"/>
      <c r="AS318" s="212"/>
      <c r="AT318" s="212"/>
      <c r="AU318" s="212"/>
      <c r="AW318" s="58"/>
      <c r="AX318" s="58"/>
      <c r="AY318" s="58"/>
      <c r="AZ318" s="58"/>
    </row>
    <row r="319" spans="1:52" s="185" customFormat="1" ht="15" customHeight="1" x14ac:dyDescent="0.25">
      <c r="A319" s="200"/>
      <c r="B319" s="211"/>
      <c r="C319" s="212">
        <f t="shared" si="26"/>
        <v>30.800000000000168</v>
      </c>
      <c r="D319" s="231">
        <f>15+[2]!STEPLOAD(5)</f>
        <v>20</v>
      </c>
      <c r="E319" s="212">
        <f t="shared" si="27"/>
        <v>45.420143092968331</v>
      </c>
      <c r="F319" s="212">
        <f t="shared" si="28"/>
        <v>0.5</v>
      </c>
      <c r="G319" s="212">
        <f>5</f>
        <v>5</v>
      </c>
      <c r="H319" s="212">
        <f>60</f>
        <v>60</v>
      </c>
      <c r="I319" s="212">
        <f t="shared" si="29"/>
        <v>0.9</v>
      </c>
      <c r="J319" s="212">
        <f>1</f>
        <v>1</v>
      </c>
      <c r="K319" s="212">
        <f t="shared" si="30"/>
        <v>4.1870000000000003</v>
      </c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  <c r="AA319" s="212"/>
      <c r="AB319" s="212"/>
      <c r="AC319" s="196"/>
      <c r="AD319" s="27"/>
      <c r="AE319" s="213"/>
      <c r="AF319" s="212">
        <f t="shared" si="31"/>
        <v>3.7398157863424597E-2</v>
      </c>
      <c r="AG319" s="212"/>
      <c r="AH319" s="212"/>
      <c r="AI319" s="212"/>
      <c r="AJ319" s="212"/>
      <c r="AK319" s="212"/>
      <c r="AL319" s="212"/>
      <c r="AM319" s="212"/>
      <c r="AN319" s="212"/>
      <c r="AO319" s="212"/>
      <c r="AP319" s="196"/>
      <c r="AQ319" s="196"/>
      <c r="AR319" s="211"/>
      <c r="AS319" s="212"/>
      <c r="AT319" s="212"/>
      <c r="AU319" s="212"/>
      <c r="AW319" s="58"/>
      <c r="AX319" s="58"/>
      <c r="AY319" s="58"/>
      <c r="AZ319" s="58"/>
    </row>
    <row r="320" spans="1:52" s="185" customFormat="1" ht="15" customHeight="1" x14ac:dyDescent="0.25">
      <c r="A320" s="200"/>
      <c r="B320" s="211"/>
      <c r="C320" s="212">
        <f t="shared" si="26"/>
        <v>30.900000000000169</v>
      </c>
      <c r="D320" s="231">
        <f>15+[2]!STEPLOAD(5)</f>
        <v>20</v>
      </c>
      <c r="E320" s="212">
        <f t="shared" si="27"/>
        <v>45.42388290875467</v>
      </c>
      <c r="F320" s="212">
        <f t="shared" si="28"/>
        <v>0.5</v>
      </c>
      <c r="G320" s="212">
        <f>5</f>
        <v>5</v>
      </c>
      <c r="H320" s="212">
        <f>60</f>
        <v>60</v>
      </c>
      <c r="I320" s="212">
        <f t="shared" si="29"/>
        <v>0.9</v>
      </c>
      <c r="J320" s="212">
        <f>1</f>
        <v>1</v>
      </c>
      <c r="K320" s="212">
        <f t="shared" si="30"/>
        <v>4.1870000000000003</v>
      </c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212"/>
      <c r="Y320" s="212"/>
      <c r="Z320" s="212"/>
      <c r="AA320" s="212"/>
      <c r="AB320" s="212"/>
      <c r="AC320" s="196"/>
      <c r="AD320" s="27"/>
      <c r="AE320" s="213"/>
      <c r="AF320" s="212">
        <f t="shared" si="31"/>
        <v>3.7024176284790933E-2</v>
      </c>
      <c r="AG320" s="212"/>
      <c r="AH320" s="212"/>
      <c r="AI320" s="212"/>
      <c r="AJ320" s="212"/>
      <c r="AK320" s="212"/>
      <c r="AL320" s="212"/>
      <c r="AM320" s="212"/>
      <c r="AN320" s="212"/>
      <c r="AO320" s="212"/>
      <c r="AP320" s="196"/>
      <c r="AQ320" s="196"/>
      <c r="AR320" s="211"/>
      <c r="AS320" s="212"/>
      <c r="AT320" s="212"/>
      <c r="AU320" s="212"/>
      <c r="AW320" s="58"/>
      <c r="AX320" s="58"/>
      <c r="AY320" s="58"/>
      <c r="AZ320" s="58"/>
    </row>
    <row r="321" spans="1:52" s="185" customFormat="1" ht="15" customHeight="1" x14ac:dyDescent="0.25">
      <c r="A321" s="200"/>
      <c r="B321" s="211"/>
      <c r="C321" s="212">
        <f t="shared" si="26"/>
        <v>31.000000000000171</v>
      </c>
      <c r="D321" s="231">
        <f>15+[2]!STEPLOAD(5)</f>
        <v>20</v>
      </c>
      <c r="E321" s="212">
        <f t="shared" si="27"/>
        <v>45.427585326383152</v>
      </c>
      <c r="F321" s="212">
        <f t="shared" si="28"/>
        <v>0.5</v>
      </c>
      <c r="G321" s="212">
        <f>5</f>
        <v>5</v>
      </c>
      <c r="H321" s="212">
        <f>60</f>
        <v>60</v>
      </c>
      <c r="I321" s="212">
        <f t="shared" si="29"/>
        <v>0.9</v>
      </c>
      <c r="J321" s="212">
        <f>1</f>
        <v>1</v>
      </c>
      <c r="K321" s="212">
        <f t="shared" si="30"/>
        <v>4.1870000000000003</v>
      </c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212"/>
      <c r="Y321" s="212"/>
      <c r="Z321" s="212"/>
      <c r="AA321" s="212"/>
      <c r="AB321" s="212"/>
      <c r="AC321" s="196"/>
      <c r="AD321" s="27"/>
      <c r="AE321" s="213"/>
      <c r="AF321" s="212">
        <f t="shared" si="31"/>
        <v>3.6653934521942766E-2</v>
      </c>
      <c r="AG321" s="212"/>
      <c r="AH321" s="212"/>
      <c r="AI321" s="212"/>
      <c r="AJ321" s="212"/>
      <c r="AK321" s="212"/>
      <c r="AL321" s="212"/>
      <c r="AM321" s="212"/>
      <c r="AN321" s="212"/>
      <c r="AO321" s="212"/>
      <c r="AP321" s="196"/>
      <c r="AQ321" s="196"/>
      <c r="AR321" s="211"/>
      <c r="AS321" s="212"/>
      <c r="AT321" s="212"/>
      <c r="AU321" s="212"/>
      <c r="AW321" s="58"/>
      <c r="AX321" s="58"/>
      <c r="AY321" s="58"/>
      <c r="AZ321" s="58"/>
    </row>
    <row r="322" spans="1:52" s="185" customFormat="1" ht="15" customHeight="1" x14ac:dyDescent="0.25">
      <c r="A322" s="200"/>
      <c r="B322" s="211"/>
      <c r="C322" s="212">
        <f t="shared" si="26"/>
        <v>31.100000000000172</v>
      </c>
      <c r="D322" s="231">
        <f>15+[2]!STEPLOAD(5)</f>
        <v>20</v>
      </c>
      <c r="E322" s="212">
        <f t="shared" si="27"/>
        <v>45.431250719835347</v>
      </c>
      <c r="F322" s="212">
        <f t="shared" si="28"/>
        <v>0.5</v>
      </c>
      <c r="G322" s="212">
        <f>5</f>
        <v>5</v>
      </c>
      <c r="H322" s="212">
        <f>60</f>
        <v>60</v>
      </c>
      <c r="I322" s="212">
        <f t="shared" si="29"/>
        <v>0.9</v>
      </c>
      <c r="J322" s="212">
        <f>1</f>
        <v>1</v>
      </c>
      <c r="K322" s="212">
        <f t="shared" si="30"/>
        <v>4.1870000000000003</v>
      </c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212"/>
      <c r="Y322" s="212"/>
      <c r="Z322" s="212"/>
      <c r="AA322" s="212"/>
      <c r="AB322" s="212"/>
      <c r="AC322" s="196"/>
      <c r="AD322" s="27"/>
      <c r="AE322" s="213"/>
      <c r="AF322" s="212">
        <f t="shared" si="31"/>
        <v>3.6287395176723081E-2</v>
      </c>
      <c r="AG322" s="212"/>
      <c r="AH322" s="212"/>
      <c r="AI322" s="212"/>
      <c r="AJ322" s="212"/>
      <c r="AK322" s="212"/>
      <c r="AL322" s="212"/>
      <c r="AM322" s="212"/>
      <c r="AN322" s="212"/>
      <c r="AO322" s="212"/>
      <c r="AP322" s="196"/>
      <c r="AQ322" s="196"/>
      <c r="AR322" s="211"/>
      <c r="AS322" s="212"/>
      <c r="AT322" s="212"/>
      <c r="AU322" s="212"/>
      <c r="AW322" s="58"/>
      <c r="AX322" s="58"/>
      <c r="AY322" s="58"/>
      <c r="AZ322" s="58"/>
    </row>
    <row r="323" spans="1:52" s="185" customFormat="1" ht="15" customHeight="1" x14ac:dyDescent="0.25">
      <c r="A323" s="200"/>
      <c r="B323" s="211"/>
      <c r="C323" s="212">
        <f t="shared" si="26"/>
        <v>31.200000000000173</v>
      </c>
      <c r="D323" s="231">
        <f>15+[2]!STEPLOAD(5)</f>
        <v>20</v>
      </c>
      <c r="E323" s="212">
        <f t="shared" si="27"/>
        <v>45.43487945935302</v>
      </c>
      <c r="F323" s="212">
        <f t="shared" si="28"/>
        <v>0.5</v>
      </c>
      <c r="G323" s="212">
        <f>5</f>
        <v>5</v>
      </c>
      <c r="H323" s="212">
        <f>60</f>
        <v>60</v>
      </c>
      <c r="I323" s="212">
        <f t="shared" si="29"/>
        <v>0.9</v>
      </c>
      <c r="J323" s="212">
        <f>1</f>
        <v>1</v>
      </c>
      <c r="K323" s="212">
        <f t="shared" si="30"/>
        <v>4.1870000000000003</v>
      </c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212"/>
      <c r="Y323" s="212"/>
      <c r="Z323" s="212"/>
      <c r="AA323" s="212"/>
      <c r="AB323" s="212"/>
      <c r="AC323" s="196"/>
      <c r="AD323" s="27"/>
      <c r="AE323" s="213"/>
      <c r="AF323" s="212">
        <f t="shared" si="31"/>
        <v>3.5924521224955708E-2</v>
      </c>
      <c r="AG323" s="212"/>
      <c r="AH323" s="212"/>
      <c r="AI323" s="212"/>
      <c r="AJ323" s="212"/>
      <c r="AK323" s="212"/>
      <c r="AL323" s="212"/>
      <c r="AM323" s="212"/>
      <c r="AN323" s="212"/>
      <c r="AO323" s="212"/>
      <c r="AP323" s="196"/>
      <c r="AQ323" s="196"/>
      <c r="AR323" s="211"/>
      <c r="AS323" s="212"/>
      <c r="AT323" s="212"/>
      <c r="AU323" s="212"/>
      <c r="AW323" s="58"/>
      <c r="AX323" s="58"/>
      <c r="AY323" s="58"/>
      <c r="AZ323" s="58"/>
    </row>
    <row r="324" spans="1:52" s="185" customFormat="1" ht="15" customHeight="1" x14ac:dyDescent="0.25">
      <c r="A324" s="200"/>
      <c r="B324" s="211"/>
      <c r="C324" s="212">
        <f t="shared" si="26"/>
        <v>31.300000000000175</v>
      </c>
      <c r="D324" s="231">
        <f>15+[2]!STEPLOAD(5)</f>
        <v>20</v>
      </c>
      <c r="E324" s="212">
        <f t="shared" si="27"/>
        <v>45.438471911475517</v>
      </c>
      <c r="F324" s="212">
        <f t="shared" si="28"/>
        <v>0.5</v>
      </c>
      <c r="G324" s="212">
        <f>5</f>
        <v>5</v>
      </c>
      <c r="H324" s="212">
        <f>60</f>
        <v>60</v>
      </c>
      <c r="I324" s="212">
        <f t="shared" si="29"/>
        <v>0.9</v>
      </c>
      <c r="J324" s="212">
        <f>1</f>
        <v>1</v>
      </c>
      <c r="K324" s="212">
        <f t="shared" si="30"/>
        <v>4.1870000000000003</v>
      </c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212"/>
      <c r="Y324" s="212"/>
      <c r="Z324" s="212"/>
      <c r="AA324" s="212"/>
      <c r="AB324" s="212"/>
      <c r="AC324" s="196"/>
      <c r="AD324" s="27"/>
      <c r="AE324" s="213"/>
      <c r="AF324" s="212">
        <f t="shared" si="31"/>
        <v>3.5565276012706093E-2</v>
      </c>
      <c r="AG324" s="212"/>
      <c r="AH324" s="212"/>
      <c r="AI324" s="212"/>
      <c r="AJ324" s="212"/>
      <c r="AK324" s="212"/>
      <c r="AL324" s="212"/>
      <c r="AM324" s="212"/>
      <c r="AN324" s="212"/>
      <c r="AO324" s="212"/>
      <c r="AP324" s="196"/>
      <c r="AQ324" s="196"/>
      <c r="AR324" s="211"/>
      <c r="AS324" s="212"/>
      <c r="AT324" s="212"/>
      <c r="AU324" s="212"/>
      <c r="AW324" s="58"/>
      <c r="AX324" s="58"/>
      <c r="AY324" s="58"/>
      <c r="AZ324" s="58"/>
    </row>
    <row r="325" spans="1:52" s="185" customFormat="1" ht="15" customHeight="1" x14ac:dyDescent="0.25">
      <c r="A325" s="200"/>
      <c r="B325" s="211"/>
      <c r="C325" s="212">
        <f t="shared" si="26"/>
        <v>31.400000000000176</v>
      </c>
      <c r="D325" s="231">
        <f>15+[2]!STEPLOAD(5)</f>
        <v>20</v>
      </c>
      <c r="E325" s="212">
        <f t="shared" si="27"/>
        <v>45.442028439076786</v>
      </c>
      <c r="F325" s="212">
        <f t="shared" si="28"/>
        <v>0.5</v>
      </c>
      <c r="G325" s="212">
        <f>5</f>
        <v>5</v>
      </c>
      <c r="H325" s="212">
        <f>60</f>
        <v>60</v>
      </c>
      <c r="I325" s="212">
        <f t="shared" si="29"/>
        <v>0.9</v>
      </c>
      <c r="J325" s="212">
        <f>1</f>
        <v>1</v>
      </c>
      <c r="K325" s="212">
        <f t="shared" si="30"/>
        <v>4.1870000000000003</v>
      </c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212"/>
      <c r="Y325" s="212"/>
      <c r="Z325" s="212"/>
      <c r="AA325" s="212"/>
      <c r="AB325" s="212"/>
      <c r="AC325" s="196"/>
      <c r="AD325" s="27"/>
      <c r="AE325" s="213"/>
      <c r="AF325" s="212">
        <f t="shared" si="31"/>
        <v>3.520962325257937E-2</v>
      </c>
      <c r="AG325" s="212"/>
      <c r="AH325" s="212"/>
      <c r="AI325" s="212"/>
      <c r="AJ325" s="212"/>
      <c r="AK325" s="212"/>
      <c r="AL325" s="212"/>
      <c r="AM325" s="212"/>
      <c r="AN325" s="212"/>
      <c r="AO325" s="212"/>
      <c r="AP325" s="196"/>
      <c r="AQ325" s="196"/>
      <c r="AR325" s="211"/>
      <c r="AS325" s="212"/>
      <c r="AT325" s="212"/>
      <c r="AU325" s="212"/>
      <c r="AW325" s="58"/>
      <c r="AX325" s="58"/>
      <c r="AY325" s="58"/>
      <c r="AZ325" s="58"/>
    </row>
    <row r="326" spans="1:52" s="185" customFormat="1" ht="15" customHeight="1" x14ac:dyDescent="0.25">
      <c r="A326" s="200"/>
      <c r="B326" s="211"/>
      <c r="C326" s="212">
        <f t="shared" si="26"/>
        <v>31.500000000000178</v>
      </c>
      <c r="D326" s="231">
        <f>15+[2]!STEPLOAD(5)</f>
        <v>20</v>
      </c>
      <c r="E326" s="212">
        <f t="shared" si="27"/>
        <v>45.445549401402047</v>
      </c>
      <c r="F326" s="212">
        <f t="shared" si="28"/>
        <v>0.5</v>
      </c>
      <c r="G326" s="212">
        <f>5</f>
        <v>5</v>
      </c>
      <c r="H326" s="212">
        <f>60</f>
        <v>60</v>
      </c>
      <c r="I326" s="212">
        <f t="shared" si="29"/>
        <v>0.9</v>
      </c>
      <c r="J326" s="212">
        <f>1</f>
        <v>1</v>
      </c>
      <c r="K326" s="212">
        <f t="shared" si="30"/>
        <v>4.1870000000000003</v>
      </c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  <c r="AA326" s="212"/>
      <c r="AB326" s="212"/>
      <c r="AC326" s="196"/>
      <c r="AD326" s="27"/>
      <c r="AE326" s="213"/>
      <c r="AF326" s="212">
        <f t="shared" si="31"/>
        <v>3.485752702005307E-2</v>
      </c>
      <c r="AG326" s="212"/>
      <c r="AH326" s="212"/>
      <c r="AI326" s="212"/>
      <c r="AJ326" s="212"/>
      <c r="AK326" s="212"/>
      <c r="AL326" s="212"/>
      <c r="AM326" s="212"/>
      <c r="AN326" s="212"/>
      <c r="AO326" s="212"/>
      <c r="AP326" s="196"/>
      <c r="AQ326" s="196"/>
      <c r="AR326" s="211"/>
      <c r="AS326" s="212"/>
      <c r="AT326" s="212"/>
      <c r="AU326" s="212"/>
      <c r="AW326" s="58"/>
      <c r="AX326" s="58"/>
      <c r="AY326" s="58"/>
      <c r="AZ326" s="58"/>
    </row>
    <row r="327" spans="1:52" s="185" customFormat="1" ht="15" customHeight="1" x14ac:dyDescent="0.25">
      <c r="A327" s="200"/>
      <c r="B327" s="211"/>
      <c r="C327" s="212">
        <f t="shared" si="26"/>
        <v>31.600000000000179</v>
      </c>
      <c r="D327" s="231">
        <f>15+[2]!STEPLOAD(5)</f>
        <v>20</v>
      </c>
      <c r="E327" s="212">
        <f t="shared" si="27"/>
        <v>45.449035154104052</v>
      </c>
      <c r="F327" s="212">
        <f t="shared" si="28"/>
        <v>0.5</v>
      </c>
      <c r="G327" s="212">
        <f>5</f>
        <v>5</v>
      </c>
      <c r="H327" s="212">
        <f>60</f>
        <v>60</v>
      </c>
      <c r="I327" s="212">
        <f t="shared" si="29"/>
        <v>0.9</v>
      </c>
      <c r="J327" s="212">
        <f>1</f>
        <v>1</v>
      </c>
      <c r="K327" s="212">
        <f t="shared" si="30"/>
        <v>4.1870000000000003</v>
      </c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212"/>
      <c r="Y327" s="212"/>
      <c r="Z327" s="212"/>
      <c r="AA327" s="212"/>
      <c r="AB327" s="212"/>
      <c r="AC327" s="196"/>
      <c r="AD327" s="27"/>
      <c r="AE327" s="213"/>
      <c r="AF327" s="212">
        <f t="shared" si="31"/>
        <v>3.4508951749852468E-2</v>
      </c>
      <c r="AG327" s="212"/>
      <c r="AH327" s="212"/>
      <c r="AI327" s="212"/>
      <c r="AJ327" s="212"/>
      <c r="AK327" s="212"/>
      <c r="AL327" s="212"/>
      <c r="AM327" s="212"/>
      <c r="AN327" s="212"/>
      <c r="AO327" s="212"/>
      <c r="AP327" s="196"/>
      <c r="AQ327" s="196"/>
      <c r="AR327" s="211"/>
      <c r="AS327" s="212"/>
      <c r="AT327" s="212"/>
      <c r="AU327" s="212"/>
      <c r="AW327" s="58"/>
      <c r="AX327" s="58"/>
      <c r="AY327" s="58"/>
      <c r="AZ327" s="58"/>
    </row>
    <row r="328" spans="1:52" s="185" customFormat="1" ht="15" customHeight="1" x14ac:dyDescent="0.25">
      <c r="A328" s="200"/>
      <c r="B328" s="211"/>
      <c r="C328" s="212">
        <f t="shared" si="26"/>
        <v>31.70000000000018</v>
      </c>
      <c r="D328" s="231">
        <f>15+[2]!STEPLOAD(5)</f>
        <v>20</v>
      </c>
      <c r="E328" s="212">
        <f t="shared" si="27"/>
        <v>45.452486049279038</v>
      </c>
      <c r="F328" s="212">
        <f t="shared" si="28"/>
        <v>0.5</v>
      </c>
      <c r="G328" s="212">
        <f>5</f>
        <v>5</v>
      </c>
      <c r="H328" s="212">
        <f>60</f>
        <v>60</v>
      </c>
      <c r="I328" s="212">
        <f t="shared" si="29"/>
        <v>0.9</v>
      </c>
      <c r="J328" s="212">
        <f>1</f>
        <v>1</v>
      </c>
      <c r="K328" s="212">
        <f t="shared" si="30"/>
        <v>4.1870000000000003</v>
      </c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212"/>
      <c r="Y328" s="212"/>
      <c r="Z328" s="212"/>
      <c r="AA328" s="212"/>
      <c r="AB328" s="212"/>
      <c r="AC328" s="196"/>
      <c r="AD328" s="27"/>
      <c r="AE328" s="213"/>
      <c r="AF328" s="212">
        <f t="shared" si="31"/>
        <v>3.4163862232353903E-2</v>
      </c>
      <c r="AG328" s="212"/>
      <c r="AH328" s="212"/>
      <c r="AI328" s="212"/>
      <c r="AJ328" s="212"/>
      <c r="AK328" s="212"/>
      <c r="AL328" s="212"/>
      <c r="AM328" s="212"/>
      <c r="AN328" s="212"/>
      <c r="AO328" s="212"/>
      <c r="AP328" s="196"/>
      <c r="AQ328" s="196"/>
      <c r="AR328" s="211"/>
      <c r="AS328" s="212"/>
      <c r="AT328" s="212"/>
      <c r="AU328" s="212"/>
      <c r="AW328" s="58"/>
      <c r="AX328" s="58"/>
      <c r="AY328" s="58"/>
      <c r="AZ328" s="58"/>
    </row>
    <row r="329" spans="1:52" s="185" customFormat="1" ht="15" customHeight="1" x14ac:dyDescent="0.25">
      <c r="A329" s="200"/>
      <c r="B329" s="211"/>
      <c r="C329" s="212">
        <f t="shared" si="26"/>
        <v>31.800000000000182</v>
      </c>
      <c r="D329" s="231">
        <f>15+[2]!STEPLOAD(5)</f>
        <v>20</v>
      </c>
      <c r="E329" s="212">
        <f t="shared" si="27"/>
        <v>45.455902435502274</v>
      </c>
      <c r="F329" s="212">
        <f t="shared" si="28"/>
        <v>0.5</v>
      </c>
      <c r="G329" s="212">
        <f>5</f>
        <v>5</v>
      </c>
      <c r="H329" s="212">
        <f>60</f>
        <v>60</v>
      </c>
      <c r="I329" s="212">
        <f t="shared" si="29"/>
        <v>0.9</v>
      </c>
      <c r="J329" s="212">
        <f>1</f>
        <v>1</v>
      </c>
      <c r="K329" s="212">
        <f t="shared" si="30"/>
        <v>4.1870000000000003</v>
      </c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212"/>
      <c r="Y329" s="212"/>
      <c r="Z329" s="212"/>
      <c r="AA329" s="212"/>
      <c r="AB329" s="212"/>
      <c r="AC329" s="196"/>
      <c r="AD329" s="27"/>
      <c r="AE329" s="213"/>
      <c r="AF329" s="212">
        <f t="shared" si="31"/>
        <v>3.3822223610030289E-2</v>
      </c>
      <c r="AG329" s="212"/>
      <c r="AH329" s="212"/>
      <c r="AI329" s="212"/>
      <c r="AJ329" s="212"/>
      <c r="AK329" s="212"/>
      <c r="AL329" s="212"/>
      <c r="AM329" s="212"/>
      <c r="AN329" s="212"/>
      <c r="AO329" s="212"/>
      <c r="AP329" s="196"/>
      <c r="AQ329" s="196"/>
      <c r="AR329" s="211"/>
      <c r="AS329" s="212"/>
      <c r="AT329" s="212"/>
      <c r="AU329" s="212"/>
      <c r="AW329" s="58"/>
      <c r="AX329" s="58"/>
      <c r="AY329" s="58"/>
      <c r="AZ329" s="58"/>
    </row>
    <row r="330" spans="1:52" s="185" customFormat="1" ht="15" customHeight="1" x14ac:dyDescent="0.25">
      <c r="A330" s="200"/>
      <c r="B330" s="211"/>
      <c r="C330" s="212">
        <f t="shared" si="26"/>
        <v>31.900000000000183</v>
      </c>
      <c r="D330" s="231">
        <f>15+[2]!STEPLOAD(5)</f>
        <v>20</v>
      </c>
      <c r="E330" s="212">
        <f t="shared" si="27"/>
        <v>45.459284657863279</v>
      </c>
      <c r="F330" s="212">
        <f t="shared" si="28"/>
        <v>0.5</v>
      </c>
      <c r="G330" s="212">
        <f>5</f>
        <v>5</v>
      </c>
      <c r="H330" s="212">
        <f>60</f>
        <v>60</v>
      </c>
      <c r="I330" s="212">
        <f t="shared" si="29"/>
        <v>0.9</v>
      </c>
      <c r="J330" s="212">
        <f>1</f>
        <v>1</v>
      </c>
      <c r="K330" s="212">
        <f t="shared" si="30"/>
        <v>4.1870000000000003</v>
      </c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  <c r="AA330" s="212"/>
      <c r="AB330" s="212"/>
      <c r="AC330" s="196"/>
      <c r="AD330" s="27"/>
      <c r="AE330" s="213"/>
      <c r="AF330" s="212">
        <f t="shared" si="31"/>
        <v>3.3484001373929928E-2</v>
      </c>
      <c r="AG330" s="212"/>
      <c r="AH330" s="212"/>
      <c r="AI330" s="212"/>
      <c r="AJ330" s="212"/>
      <c r="AK330" s="212"/>
      <c r="AL330" s="212"/>
      <c r="AM330" s="212"/>
      <c r="AN330" s="212"/>
      <c r="AO330" s="212"/>
      <c r="AP330" s="196"/>
      <c r="AQ330" s="196"/>
      <c r="AR330" s="211"/>
      <c r="AS330" s="212"/>
      <c r="AT330" s="212"/>
      <c r="AU330" s="212"/>
      <c r="AW330" s="58"/>
      <c r="AX330" s="58"/>
      <c r="AY330" s="58"/>
      <c r="AZ330" s="58"/>
    </row>
    <row r="331" spans="1:52" s="185" customFormat="1" ht="15" customHeight="1" x14ac:dyDescent="0.25">
      <c r="A331" s="200"/>
      <c r="B331" s="211"/>
      <c r="C331" s="212">
        <f t="shared" si="26"/>
        <v>32.000000000000185</v>
      </c>
      <c r="D331" s="231">
        <f>15+[2]!STEPLOAD(5)</f>
        <v>20</v>
      </c>
      <c r="E331" s="212">
        <f t="shared" si="27"/>
        <v>45.462633058000669</v>
      </c>
      <c r="F331" s="212">
        <f t="shared" si="28"/>
        <v>0.5</v>
      </c>
      <c r="G331" s="212">
        <f>5</f>
        <v>5</v>
      </c>
      <c r="H331" s="212">
        <f>60</f>
        <v>60</v>
      </c>
      <c r="I331" s="212">
        <f t="shared" si="29"/>
        <v>0.9</v>
      </c>
      <c r="J331" s="212">
        <f>1</f>
        <v>1</v>
      </c>
      <c r="K331" s="212">
        <f t="shared" si="30"/>
        <v>4.1870000000000003</v>
      </c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212"/>
      <c r="Y331" s="212"/>
      <c r="Z331" s="212"/>
      <c r="AA331" s="212"/>
      <c r="AB331" s="212"/>
      <c r="AC331" s="196"/>
      <c r="AD331" s="27"/>
      <c r="AE331" s="213"/>
      <c r="AF331" s="212">
        <f t="shared" si="31"/>
        <v>3.314916136019086E-2</v>
      </c>
      <c r="AG331" s="212"/>
      <c r="AH331" s="212"/>
      <c r="AI331" s="212"/>
      <c r="AJ331" s="212"/>
      <c r="AK331" s="212"/>
      <c r="AL331" s="212"/>
      <c r="AM331" s="212"/>
      <c r="AN331" s="212"/>
      <c r="AO331" s="212"/>
      <c r="AP331" s="196"/>
      <c r="AQ331" s="196"/>
      <c r="AR331" s="211"/>
      <c r="AS331" s="212"/>
      <c r="AT331" s="212"/>
      <c r="AU331" s="212"/>
      <c r="AW331" s="58"/>
      <c r="AX331" s="58"/>
      <c r="AY331" s="58"/>
      <c r="AZ331" s="58"/>
    </row>
    <row r="332" spans="1:52" s="185" customFormat="1" ht="15" customHeight="1" x14ac:dyDescent="0.25">
      <c r="A332" s="200"/>
      <c r="B332" s="211"/>
      <c r="C332" s="212">
        <f t="shared" ref="C332:C395" si="32">C331+IntegrationStep</f>
        <v>32.100000000000186</v>
      </c>
      <c r="D332" s="231">
        <f>15+[2]!STEPLOAD(5)</f>
        <v>20</v>
      </c>
      <c r="E332" s="212">
        <f t="shared" si="27"/>
        <v>45.465947974136689</v>
      </c>
      <c r="F332" s="212">
        <f t="shared" si="28"/>
        <v>0.5</v>
      </c>
      <c r="G332" s="212">
        <f>5</f>
        <v>5</v>
      </c>
      <c r="H332" s="212">
        <f>60</f>
        <v>60</v>
      </c>
      <c r="I332" s="212">
        <f t="shared" si="29"/>
        <v>0.9</v>
      </c>
      <c r="J332" s="212">
        <f>1</f>
        <v>1</v>
      </c>
      <c r="K332" s="212">
        <f t="shared" si="30"/>
        <v>4.1870000000000003</v>
      </c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212"/>
      <c r="Y332" s="212"/>
      <c r="Z332" s="212"/>
      <c r="AA332" s="212"/>
      <c r="AB332" s="212"/>
      <c r="AC332" s="196"/>
      <c r="AD332" s="27"/>
      <c r="AE332" s="213"/>
      <c r="AF332" s="212">
        <f t="shared" si="31"/>
        <v>3.2817669746588951E-2</v>
      </c>
      <c r="AG332" s="212"/>
      <c r="AH332" s="212"/>
      <c r="AI332" s="212"/>
      <c r="AJ332" s="212"/>
      <c r="AK332" s="212"/>
      <c r="AL332" s="212"/>
      <c r="AM332" s="212"/>
      <c r="AN332" s="212"/>
      <c r="AO332" s="212"/>
      <c r="AP332" s="196"/>
      <c r="AQ332" s="196"/>
      <c r="AR332" s="211"/>
      <c r="AS332" s="212"/>
      <c r="AT332" s="212"/>
      <c r="AU332" s="212"/>
      <c r="AW332" s="58"/>
      <c r="AX332" s="58"/>
      <c r="AY332" s="58"/>
      <c r="AZ332" s="58"/>
    </row>
    <row r="333" spans="1:52" s="185" customFormat="1" ht="15" customHeight="1" x14ac:dyDescent="0.25">
      <c r="A333" s="200"/>
      <c r="B333" s="211"/>
      <c r="C333" s="212">
        <f t="shared" si="32"/>
        <v>32.200000000000188</v>
      </c>
      <c r="D333" s="231">
        <f>15+[2]!STEPLOAD(5)</f>
        <v>20</v>
      </c>
      <c r="E333" s="212">
        <f t="shared" ref="E333:E396" si="33">E332+(C333-C332)*AF332</f>
        <v>45.469229741111349</v>
      </c>
      <c r="F333" s="212">
        <f t="shared" ref="F333:F396" si="34">0.5</f>
        <v>0.5</v>
      </c>
      <c r="G333" s="212">
        <f>5</f>
        <v>5</v>
      </c>
      <c r="H333" s="212">
        <f>60</f>
        <v>60</v>
      </c>
      <c r="I333" s="212">
        <f t="shared" ref="I333:I396" si="35">0.9</f>
        <v>0.9</v>
      </c>
      <c r="J333" s="212">
        <f>1</f>
        <v>1</v>
      </c>
      <c r="K333" s="212">
        <f t="shared" ref="K333:K396" si="36">4.187</f>
        <v>4.1870000000000003</v>
      </c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212"/>
      <c r="Y333" s="212"/>
      <c r="Z333" s="212"/>
      <c r="AA333" s="212"/>
      <c r="AB333" s="212"/>
      <c r="AC333" s="196"/>
      <c r="AD333" s="27"/>
      <c r="AE333" s="213"/>
      <c r="AF333" s="212">
        <f t="shared" ref="AF333:AF396" si="37">F333/G333*(D333-E333)+H333*I333/G333/J333/K333</f>
        <v>3.2489493049122853E-2</v>
      </c>
      <c r="AG333" s="212"/>
      <c r="AH333" s="212"/>
      <c r="AI333" s="212"/>
      <c r="AJ333" s="212"/>
      <c r="AK333" s="212"/>
      <c r="AL333" s="212"/>
      <c r="AM333" s="212"/>
      <c r="AN333" s="212"/>
      <c r="AO333" s="212"/>
      <c r="AP333" s="196"/>
      <c r="AQ333" s="196"/>
      <c r="AR333" s="211"/>
      <c r="AS333" s="212"/>
      <c r="AT333" s="212"/>
      <c r="AU333" s="212"/>
      <c r="AW333" s="58"/>
      <c r="AX333" s="58"/>
      <c r="AY333" s="58"/>
      <c r="AZ333" s="58"/>
    </row>
    <row r="334" spans="1:52" s="185" customFormat="1" ht="15" customHeight="1" x14ac:dyDescent="0.25">
      <c r="A334" s="200"/>
      <c r="B334" s="211"/>
      <c r="C334" s="212">
        <f t="shared" si="32"/>
        <v>32.300000000000189</v>
      </c>
      <c r="D334" s="231">
        <f>15+[2]!STEPLOAD(5)</f>
        <v>20</v>
      </c>
      <c r="E334" s="212">
        <f t="shared" si="33"/>
        <v>45.47247869041626</v>
      </c>
      <c r="F334" s="212">
        <f t="shared" si="34"/>
        <v>0.5</v>
      </c>
      <c r="G334" s="212">
        <f>5</f>
        <v>5</v>
      </c>
      <c r="H334" s="212">
        <f>60</f>
        <v>60</v>
      </c>
      <c r="I334" s="212">
        <f t="shared" si="35"/>
        <v>0.9</v>
      </c>
      <c r="J334" s="212">
        <f>1</f>
        <v>1</v>
      </c>
      <c r="K334" s="212">
        <f t="shared" si="36"/>
        <v>4.1870000000000003</v>
      </c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212"/>
      <c r="Y334" s="212"/>
      <c r="Z334" s="212"/>
      <c r="AA334" s="212"/>
      <c r="AB334" s="212"/>
      <c r="AC334" s="196"/>
      <c r="AD334" s="27"/>
      <c r="AE334" s="213"/>
      <c r="AF334" s="212">
        <f t="shared" si="37"/>
        <v>3.2164598118631815E-2</v>
      </c>
      <c r="AG334" s="212"/>
      <c r="AH334" s="212"/>
      <c r="AI334" s="212"/>
      <c r="AJ334" s="212"/>
      <c r="AK334" s="212"/>
      <c r="AL334" s="212"/>
      <c r="AM334" s="212"/>
      <c r="AN334" s="212"/>
      <c r="AO334" s="212"/>
      <c r="AP334" s="196"/>
      <c r="AQ334" s="196"/>
      <c r="AR334" s="211"/>
      <c r="AS334" s="212"/>
      <c r="AT334" s="212"/>
      <c r="AU334" s="212"/>
      <c r="AW334" s="58"/>
      <c r="AX334" s="58"/>
      <c r="AY334" s="58"/>
      <c r="AZ334" s="58"/>
    </row>
    <row r="335" spans="1:52" s="185" customFormat="1" ht="15" customHeight="1" x14ac:dyDescent="0.25">
      <c r="A335" s="200"/>
      <c r="B335" s="211"/>
      <c r="C335" s="212">
        <f t="shared" si="32"/>
        <v>32.40000000000019</v>
      </c>
      <c r="D335" s="231">
        <f>15+[2]!STEPLOAD(5)</f>
        <v>20</v>
      </c>
      <c r="E335" s="212">
        <f t="shared" si="33"/>
        <v>45.47569515022812</v>
      </c>
      <c r="F335" s="212">
        <f t="shared" si="34"/>
        <v>0.5</v>
      </c>
      <c r="G335" s="212">
        <f>5</f>
        <v>5</v>
      </c>
      <c r="H335" s="212">
        <f>60</f>
        <v>60</v>
      </c>
      <c r="I335" s="212">
        <f t="shared" si="35"/>
        <v>0.9</v>
      </c>
      <c r="J335" s="212">
        <f>1</f>
        <v>1</v>
      </c>
      <c r="K335" s="212">
        <f t="shared" si="36"/>
        <v>4.1870000000000003</v>
      </c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212"/>
      <c r="Y335" s="212"/>
      <c r="Z335" s="212"/>
      <c r="AA335" s="212"/>
      <c r="AB335" s="212"/>
      <c r="AC335" s="196"/>
      <c r="AD335" s="27"/>
      <c r="AE335" s="213"/>
      <c r="AF335" s="212">
        <f t="shared" si="37"/>
        <v>3.1842952137445923E-2</v>
      </c>
      <c r="AG335" s="212"/>
      <c r="AH335" s="212"/>
      <c r="AI335" s="212"/>
      <c r="AJ335" s="212"/>
      <c r="AK335" s="212"/>
      <c r="AL335" s="212"/>
      <c r="AM335" s="212"/>
      <c r="AN335" s="212"/>
      <c r="AO335" s="212"/>
      <c r="AP335" s="196"/>
      <c r="AQ335" s="196"/>
      <c r="AR335" s="211"/>
      <c r="AS335" s="212"/>
      <c r="AT335" s="212"/>
      <c r="AU335" s="212"/>
      <c r="AW335" s="58"/>
      <c r="AX335" s="58"/>
      <c r="AY335" s="58"/>
      <c r="AZ335" s="58"/>
    </row>
    <row r="336" spans="1:52" s="185" customFormat="1" ht="15" customHeight="1" x14ac:dyDescent="0.25">
      <c r="A336" s="200"/>
      <c r="B336" s="211"/>
      <c r="C336" s="212">
        <f t="shared" si="32"/>
        <v>32.500000000000192</v>
      </c>
      <c r="D336" s="231">
        <f>15+[2]!STEPLOAD(5)</f>
        <v>20</v>
      </c>
      <c r="E336" s="212">
        <f t="shared" si="33"/>
        <v>45.478879445441862</v>
      </c>
      <c r="F336" s="212">
        <f t="shared" si="34"/>
        <v>0.5</v>
      </c>
      <c r="G336" s="212">
        <f>5</f>
        <v>5</v>
      </c>
      <c r="H336" s="212">
        <f>60</f>
        <v>60</v>
      </c>
      <c r="I336" s="212">
        <f t="shared" si="35"/>
        <v>0.9</v>
      </c>
      <c r="J336" s="212">
        <f>1</f>
        <v>1</v>
      </c>
      <c r="K336" s="212">
        <f t="shared" si="36"/>
        <v>4.1870000000000003</v>
      </c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212"/>
      <c r="Y336" s="212"/>
      <c r="Z336" s="212"/>
      <c r="AA336" s="212"/>
      <c r="AB336" s="212"/>
      <c r="AC336" s="196"/>
      <c r="AD336" s="27"/>
      <c r="AE336" s="213"/>
      <c r="AF336" s="212">
        <f t="shared" si="37"/>
        <v>3.1524522616071859E-2</v>
      </c>
      <c r="AG336" s="212"/>
      <c r="AH336" s="212"/>
      <c r="AI336" s="212"/>
      <c r="AJ336" s="212"/>
      <c r="AK336" s="212"/>
      <c r="AL336" s="212"/>
      <c r="AM336" s="212"/>
      <c r="AN336" s="212"/>
      <c r="AO336" s="212"/>
      <c r="AP336" s="196"/>
      <c r="AQ336" s="196"/>
      <c r="AR336" s="211"/>
      <c r="AS336" s="212"/>
      <c r="AT336" s="212"/>
      <c r="AU336" s="212"/>
      <c r="AW336" s="58"/>
      <c r="AX336" s="58"/>
      <c r="AY336" s="58"/>
      <c r="AZ336" s="58"/>
    </row>
    <row r="337" spans="1:52" s="185" customFormat="1" ht="15" customHeight="1" x14ac:dyDescent="0.25">
      <c r="A337" s="200"/>
      <c r="B337" s="211"/>
      <c r="C337" s="212">
        <f t="shared" si="32"/>
        <v>32.600000000000193</v>
      </c>
      <c r="D337" s="231">
        <f>15+[2]!STEPLOAD(5)</f>
        <v>20</v>
      </c>
      <c r="E337" s="212">
        <f t="shared" si="33"/>
        <v>45.482031897703472</v>
      </c>
      <c r="F337" s="212">
        <f t="shared" si="34"/>
        <v>0.5</v>
      </c>
      <c r="G337" s="212">
        <f>5</f>
        <v>5</v>
      </c>
      <c r="H337" s="212">
        <f>60</f>
        <v>60</v>
      </c>
      <c r="I337" s="212">
        <f t="shared" si="35"/>
        <v>0.9</v>
      </c>
      <c r="J337" s="212">
        <f>1</f>
        <v>1</v>
      </c>
      <c r="K337" s="212">
        <f t="shared" si="36"/>
        <v>4.1870000000000003</v>
      </c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212"/>
      <c r="Y337" s="212"/>
      <c r="Z337" s="212"/>
      <c r="AA337" s="212"/>
      <c r="AB337" s="212"/>
      <c r="AC337" s="196"/>
      <c r="AD337" s="27"/>
      <c r="AE337" s="213"/>
      <c r="AF337" s="212">
        <f t="shared" si="37"/>
        <v>3.1209277389910639E-2</v>
      </c>
      <c r="AG337" s="212"/>
      <c r="AH337" s="212"/>
      <c r="AI337" s="212"/>
      <c r="AJ337" s="212"/>
      <c r="AK337" s="212"/>
      <c r="AL337" s="212"/>
      <c r="AM337" s="212"/>
      <c r="AN337" s="212"/>
      <c r="AO337" s="212"/>
      <c r="AP337" s="196"/>
      <c r="AQ337" s="196"/>
      <c r="AR337" s="211"/>
      <c r="AS337" s="212"/>
      <c r="AT337" s="212"/>
      <c r="AU337" s="212"/>
      <c r="AW337" s="58"/>
      <c r="AX337" s="58"/>
      <c r="AY337" s="58"/>
      <c r="AZ337" s="58"/>
    </row>
    <row r="338" spans="1:52" s="185" customFormat="1" ht="15" customHeight="1" x14ac:dyDescent="0.25">
      <c r="A338" s="200"/>
      <c r="B338" s="211"/>
      <c r="C338" s="212">
        <f t="shared" si="32"/>
        <v>32.700000000000195</v>
      </c>
      <c r="D338" s="231">
        <f>15+[2]!STEPLOAD(5)</f>
        <v>20</v>
      </c>
      <c r="E338" s="212">
        <f t="shared" si="33"/>
        <v>45.485152825442462</v>
      </c>
      <c r="F338" s="212">
        <f t="shared" si="34"/>
        <v>0.5</v>
      </c>
      <c r="G338" s="212">
        <f>5</f>
        <v>5</v>
      </c>
      <c r="H338" s="212">
        <f>60</f>
        <v>60</v>
      </c>
      <c r="I338" s="212">
        <f t="shared" si="35"/>
        <v>0.9</v>
      </c>
      <c r="J338" s="212">
        <f>1</f>
        <v>1</v>
      </c>
      <c r="K338" s="212">
        <f t="shared" si="36"/>
        <v>4.1870000000000003</v>
      </c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212"/>
      <c r="Y338" s="212"/>
      <c r="Z338" s="212"/>
      <c r="AA338" s="212"/>
      <c r="AB338" s="212"/>
      <c r="AC338" s="196"/>
      <c r="AD338" s="27"/>
      <c r="AE338" s="213"/>
      <c r="AF338" s="212">
        <f t="shared" si="37"/>
        <v>3.0897184616011764E-2</v>
      </c>
      <c r="AG338" s="212"/>
      <c r="AH338" s="212"/>
      <c r="AI338" s="212"/>
      <c r="AJ338" s="212"/>
      <c r="AK338" s="212"/>
      <c r="AL338" s="212"/>
      <c r="AM338" s="212"/>
      <c r="AN338" s="212"/>
      <c r="AO338" s="212"/>
      <c r="AP338" s="196"/>
      <c r="AQ338" s="196"/>
      <c r="AR338" s="211"/>
      <c r="AS338" s="212"/>
      <c r="AT338" s="212"/>
      <c r="AU338" s="212"/>
      <c r="AW338" s="58"/>
      <c r="AX338" s="58"/>
      <c r="AY338" s="58"/>
      <c r="AZ338" s="58"/>
    </row>
    <row r="339" spans="1:52" s="185" customFormat="1" ht="15" customHeight="1" x14ac:dyDescent="0.25">
      <c r="A339" s="200"/>
      <c r="B339" s="211"/>
      <c r="C339" s="212">
        <f t="shared" si="32"/>
        <v>32.800000000000196</v>
      </c>
      <c r="D339" s="231">
        <f>15+[2]!STEPLOAD(5)</f>
        <v>20</v>
      </c>
      <c r="E339" s="212">
        <f t="shared" si="33"/>
        <v>45.488242543904065</v>
      </c>
      <c r="F339" s="212">
        <f t="shared" si="34"/>
        <v>0.5</v>
      </c>
      <c r="G339" s="212">
        <f>5</f>
        <v>5</v>
      </c>
      <c r="H339" s="212">
        <f>60</f>
        <v>60</v>
      </c>
      <c r="I339" s="212">
        <f t="shared" si="35"/>
        <v>0.9</v>
      </c>
      <c r="J339" s="212">
        <f>1</f>
        <v>1</v>
      </c>
      <c r="K339" s="212">
        <f t="shared" si="36"/>
        <v>4.1870000000000003</v>
      </c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212"/>
      <c r="Y339" s="212"/>
      <c r="Z339" s="212"/>
      <c r="AA339" s="212"/>
      <c r="AB339" s="212"/>
      <c r="AC339" s="196"/>
      <c r="AD339" s="27"/>
      <c r="AE339" s="213"/>
      <c r="AF339" s="212">
        <f t="shared" si="37"/>
        <v>3.0588212769851353E-2</v>
      </c>
      <c r="AG339" s="212"/>
      <c r="AH339" s="212"/>
      <c r="AI339" s="212"/>
      <c r="AJ339" s="212"/>
      <c r="AK339" s="212"/>
      <c r="AL339" s="212"/>
      <c r="AM339" s="212"/>
      <c r="AN339" s="212"/>
      <c r="AO339" s="212"/>
      <c r="AP339" s="196"/>
      <c r="AQ339" s="196"/>
      <c r="AR339" s="211"/>
      <c r="AS339" s="212"/>
      <c r="AT339" s="212"/>
      <c r="AU339" s="212"/>
      <c r="AW339" s="58"/>
      <c r="AX339" s="58"/>
      <c r="AY339" s="58"/>
      <c r="AZ339" s="58"/>
    </row>
    <row r="340" spans="1:52" s="185" customFormat="1" ht="15" customHeight="1" x14ac:dyDescent="0.25">
      <c r="A340" s="200"/>
      <c r="B340" s="211"/>
      <c r="C340" s="212">
        <f t="shared" si="32"/>
        <v>32.900000000000198</v>
      </c>
      <c r="D340" s="231">
        <f>15+[2]!STEPLOAD(5)</f>
        <v>20</v>
      </c>
      <c r="E340" s="212">
        <f t="shared" si="33"/>
        <v>45.491301365181052</v>
      </c>
      <c r="F340" s="212">
        <f t="shared" si="34"/>
        <v>0.5</v>
      </c>
      <c r="G340" s="212">
        <f>5</f>
        <v>5</v>
      </c>
      <c r="H340" s="212">
        <f>60</f>
        <v>60</v>
      </c>
      <c r="I340" s="212">
        <f t="shared" si="35"/>
        <v>0.9</v>
      </c>
      <c r="J340" s="212">
        <f>1</f>
        <v>1</v>
      </c>
      <c r="K340" s="212">
        <f t="shared" si="36"/>
        <v>4.1870000000000003</v>
      </c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196"/>
      <c r="AD340" s="27"/>
      <c r="AE340" s="213"/>
      <c r="AF340" s="212">
        <f t="shared" si="37"/>
        <v>3.028233064215291E-2</v>
      </c>
      <c r="AG340" s="212"/>
      <c r="AH340" s="212"/>
      <c r="AI340" s="212"/>
      <c r="AJ340" s="212"/>
      <c r="AK340" s="212"/>
      <c r="AL340" s="212"/>
      <c r="AM340" s="212"/>
      <c r="AN340" s="212"/>
      <c r="AO340" s="212"/>
      <c r="AP340" s="196"/>
      <c r="AQ340" s="196"/>
      <c r="AR340" s="211"/>
      <c r="AS340" s="212"/>
      <c r="AT340" s="212"/>
      <c r="AU340" s="212"/>
      <c r="AW340" s="58"/>
      <c r="AX340" s="58"/>
      <c r="AY340" s="58"/>
      <c r="AZ340" s="58"/>
    </row>
    <row r="341" spans="1:52" s="185" customFormat="1" ht="15" customHeight="1" x14ac:dyDescent="0.25">
      <c r="A341" s="200"/>
      <c r="B341" s="211"/>
      <c r="C341" s="212">
        <f t="shared" si="32"/>
        <v>33.000000000000199</v>
      </c>
      <c r="D341" s="231">
        <f>15+[2]!STEPLOAD(5)</f>
        <v>20</v>
      </c>
      <c r="E341" s="212">
        <f t="shared" si="33"/>
        <v>45.494329598245265</v>
      </c>
      <c r="F341" s="212">
        <f t="shared" si="34"/>
        <v>0.5</v>
      </c>
      <c r="G341" s="212">
        <f>5</f>
        <v>5</v>
      </c>
      <c r="H341" s="212">
        <f>60</f>
        <v>60</v>
      </c>
      <c r="I341" s="212">
        <f t="shared" si="35"/>
        <v>0.9</v>
      </c>
      <c r="J341" s="212">
        <f>1</f>
        <v>1</v>
      </c>
      <c r="K341" s="212">
        <f t="shared" si="36"/>
        <v>4.1870000000000003</v>
      </c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212"/>
      <c r="Y341" s="212"/>
      <c r="Z341" s="212"/>
      <c r="AA341" s="212"/>
      <c r="AB341" s="212"/>
      <c r="AC341" s="196"/>
      <c r="AD341" s="27"/>
      <c r="AE341" s="213"/>
      <c r="AF341" s="212">
        <f t="shared" si="37"/>
        <v>2.9979507335731181E-2</v>
      </c>
      <c r="AG341" s="212"/>
      <c r="AH341" s="212"/>
      <c r="AI341" s="212"/>
      <c r="AJ341" s="212"/>
      <c r="AK341" s="212"/>
      <c r="AL341" s="212"/>
      <c r="AM341" s="212"/>
      <c r="AN341" s="212"/>
      <c r="AO341" s="212"/>
      <c r="AP341" s="196"/>
      <c r="AQ341" s="196"/>
      <c r="AR341" s="211"/>
      <c r="AS341" s="212"/>
      <c r="AT341" s="212"/>
      <c r="AU341" s="212"/>
      <c r="AW341" s="58"/>
      <c r="AX341" s="58"/>
      <c r="AY341" s="58"/>
      <c r="AZ341" s="58"/>
    </row>
    <row r="342" spans="1:52" s="185" customFormat="1" ht="15" customHeight="1" x14ac:dyDescent="0.25">
      <c r="A342" s="200"/>
      <c r="B342" s="211"/>
      <c r="C342" s="212">
        <f t="shared" si="32"/>
        <v>33.1000000000002</v>
      </c>
      <c r="D342" s="231">
        <f>15+[2]!STEPLOAD(5)</f>
        <v>20</v>
      </c>
      <c r="E342" s="212">
        <f t="shared" si="33"/>
        <v>45.497327548978838</v>
      </c>
      <c r="F342" s="212">
        <f t="shared" si="34"/>
        <v>0.5</v>
      </c>
      <c r="G342" s="212">
        <f>5</f>
        <v>5</v>
      </c>
      <c r="H342" s="212">
        <f>60</f>
        <v>60</v>
      </c>
      <c r="I342" s="212">
        <f t="shared" si="35"/>
        <v>0.9</v>
      </c>
      <c r="J342" s="212">
        <f>1</f>
        <v>1</v>
      </c>
      <c r="K342" s="212">
        <f t="shared" si="36"/>
        <v>4.1870000000000003</v>
      </c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  <c r="AA342" s="212"/>
      <c r="AB342" s="212"/>
      <c r="AC342" s="196"/>
      <c r="AD342" s="27"/>
      <c r="AE342" s="213"/>
      <c r="AF342" s="212">
        <f t="shared" si="37"/>
        <v>2.9679712262374203E-2</v>
      </c>
      <c r="AG342" s="212"/>
      <c r="AH342" s="212"/>
      <c r="AI342" s="212"/>
      <c r="AJ342" s="212"/>
      <c r="AK342" s="212"/>
      <c r="AL342" s="212"/>
      <c r="AM342" s="212"/>
      <c r="AN342" s="212"/>
      <c r="AO342" s="212"/>
      <c r="AP342" s="196"/>
      <c r="AQ342" s="196"/>
      <c r="AR342" s="211"/>
      <c r="AS342" s="212"/>
      <c r="AT342" s="212"/>
      <c r="AU342" s="212"/>
      <c r="AW342" s="58"/>
      <c r="AX342" s="58"/>
      <c r="AY342" s="58"/>
      <c r="AZ342" s="58"/>
    </row>
    <row r="343" spans="1:52" s="185" customFormat="1" ht="15" customHeight="1" x14ac:dyDescent="0.25">
      <c r="A343" s="200"/>
      <c r="B343" s="211"/>
      <c r="C343" s="212">
        <f t="shared" si="32"/>
        <v>33.200000000000202</v>
      </c>
      <c r="D343" s="231">
        <f>15+[2]!STEPLOAD(5)</f>
        <v>20</v>
      </c>
      <c r="E343" s="212">
        <f t="shared" si="33"/>
        <v>45.500295520205079</v>
      </c>
      <c r="F343" s="212">
        <f t="shared" si="34"/>
        <v>0.5</v>
      </c>
      <c r="G343" s="212">
        <f>5</f>
        <v>5</v>
      </c>
      <c r="H343" s="212">
        <f>60</f>
        <v>60</v>
      </c>
      <c r="I343" s="212">
        <f t="shared" si="35"/>
        <v>0.9</v>
      </c>
      <c r="J343" s="212">
        <f>1</f>
        <v>1</v>
      </c>
      <c r="K343" s="212">
        <f t="shared" si="36"/>
        <v>4.1870000000000003</v>
      </c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212"/>
      <c r="Y343" s="212"/>
      <c r="Z343" s="212"/>
      <c r="AA343" s="212"/>
      <c r="AB343" s="212"/>
      <c r="AC343" s="196"/>
      <c r="AD343" s="27"/>
      <c r="AE343" s="213"/>
      <c r="AF343" s="212">
        <f t="shared" si="37"/>
        <v>2.9382915139750221E-2</v>
      </c>
      <c r="AG343" s="212"/>
      <c r="AH343" s="212"/>
      <c r="AI343" s="212"/>
      <c r="AJ343" s="212"/>
      <c r="AK343" s="212"/>
      <c r="AL343" s="212"/>
      <c r="AM343" s="212"/>
      <c r="AN343" s="212"/>
      <c r="AO343" s="212"/>
      <c r="AP343" s="196"/>
      <c r="AQ343" s="196"/>
      <c r="AR343" s="211"/>
      <c r="AS343" s="212"/>
      <c r="AT343" s="212"/>
      <c r="AU343" s="212"/>
      <c r="AW343" s="58"/>
      <c r="AX343" s="58"/>
      <c r="AY343" s="58"/>
      <c r="AZ343" s="58"/>
    </row>
    <row r="344" spans="1:52" s="185" customFormat="1" ht="15" customHeight="1" x14ac:dyDescent="0.25">
      <c r="A344" s="200"/>
      <c r="B344" s="211"/>
      <c r="C344" s="212">
        <f t="shared" si="32"/>
        <v>33.300000000000203</v>
      </c>
      <c r="D344" s="231">
        <f>15+[2]!STEPLOAD(5)</f>
        <v>20</v>
      </c>
      <c r="E344" s="212">
        <f t="shared" si="33"/>
        <v>45.503233811719056</v>
      </c>
      <c r="F344" s="212">
        <f t="shared" si="34"/>
        <v>0.5</v>
      </c>
      <c r="G344" s="212">
        <f>5</f>
        <v>5</v>
      </c>
      <c r="H344" s="212">
        <f>60</f>
        <v>60</v>
      </c>
      <c r="I344" s="212">
        <f t="shared" si="35"/>
        <v>0.9</v>
      </c>
      <c r="J344" s="212">
        <f>1</f>
        <v>1</v>
      </c>
      <c r="K344" s="212">
        <f t="shared" si="36"/>
        <v>4.1870000000000003</v>
      </c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212"/>
      <c r="Y344" s="212"/>
      <c r="Z344" s="212"/>
      <c r="AA344" s="212"/>
      <c r="AB344" s="212"/>
      <c r="AC344" s="196"/>
      <c r="AD344" s="27"/>
      <c r="AE344" s="213"/>
      <c r="AF344" s="212">
        <f t="shared" si="37"/>
        <v>2.9089085988352359E-2</v>
      </c>
      <c r="AG344" s="212"/>
      <c r="AH344" s="212"/>
      <c r="AI344" s="212"/>
      <c r="AJ344" s="212"/>
      <c r="AK344" s="212"/>
      <c r="AL344" s="212"/>
      <c r="AM344" s="212"/>
      <c r="AN344" s="212"/>
      <c r="AO344" s="212"/>
      <c r="AP344" s="196"/>
      <c r="AQ344" s="196"/>
      <c r="AR344" s="211"/>
      <c r="AS344" s="212"/>
      <c r="AT344" s="212"/>
      <c r="AU344" s="212"/>
      <c r="AW344" s="58"/>
      <c r="AX344" s="58"/>
      <c r="AY344" s="58"/>
      <c r="AZ344" s="58"/>
    </row>
    <row r="345" spans="1:52" s="185" customFormat="1" ht="15" customHeight="1" x14ac:dyDescent="0.25">
      <c r="A345" s="200"/>
      <c r="B345" s="211"/>
      <c r="C345" s="212">
        <f t="shared" si="32"/>
        <v>33.400000000000205</v>
      </c>
      <c r="D345" s="231">
        <f>15+[2]!STEPLOAD(5)</f>
        <v>20</v>
      </c>
      <c r="E345" s="212">
        <f t="shared" si="33"/>
        <v>45.506142720317889</v>
      </c>
      <c r="F345" s="212">
        <f t="shared" si="34"/>
        <v>0.5</v>
      </c>
      <c r="G345" s="212">
        <f>5</f>
        <v>5</v>
      </c>
      <c r="H345" s="212">
        <f>60</f>
        <v>60</v>
      </c>
      <c r="I345" s="212">
        <f t="shared" si="35"/>
        <v>0.9</v>
      </c>
      <c r="J345" s="212">
        <f>1</f>
        <v>1</v>
      </c>
      <c r="K345" s="212">
        <f t="shared" si="36"/>
        <v>4.1870000000000003</v>
      </c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196"/>
      <c r="AD345" s="27"/>
      <c r="AE345" s="213"/>
      <c r="AF345" s="212">
        <f t="shared" si="37"/>
        <v>2.879819512846904E-2</v>
      </c>
      <c r="AG345" s="212"/>
      <c r="AH345" s="212"/>
      <c r="AI345" s="212"/>
      <c r="AJ345" s="212"/>
      <c r="AK345" s="212"/>
      <c r="AL345" s="212"/>
      <c r="AM345" s="212"/>
      <c r="AN345" s="212"/>
      <c r="AO345" s="212"/>
      <c r="AP345" s="196"/>
      <c r="AQ345" s="196"/>
      <c r="AR345" s="211"/>
      <c r="AS345" s="212"/>
      <c r="AT345" s="212"/>
      <c r="AU345" s="212"/>
      <c r="AW345" s="58"/>
      <c r="AX345" s="58"/>
      <c r="AY345" s="58"/>
      <c r="AZ345" s="58"/>
    </row>
    <row r="346" spans="1:52" s="185" customFormat="1" ht="15" customHeight="1" x14ac:dyDescent="0.25">
      <c r="A346" s="200"/>
      <c r="B346" s="211"/>
      <c r="C346" s="212">
        <f t="shared" si="32"/>
        <v>33.500000000000206</v>
      </c>
      <c r="D346" s="231">
        <f>15+[2]!STEPLOAD(5)</f>
        <v>20</v>
      </c>
      <c r="E346" s="212">
        <f t="shared" si="33"/>
        <v>45.509022539830738</v>
      </c>
      <c r="F346" s="212">
        <f t="shared" si="34"/>
        <v>0.5</v>
      </c>
      <c r="G346" s="212">
        <f>5</f>
        <v>5</v>
      </c>
      <c r="H346" s="212">
        <f>60</f>
        <v>60</v>
      </c>
      <c r="I346" s="212">
        <f t="shared" si="35"/>
        <v>0.9</v>
      </c>
      <c r="J346" s="212">
        <f>1</f>
        <v>1</v>
      </c>
      <c r="K346" s="212">
        <f t="shared" si="36"/>
        <v>4.1870000000000003</v>
      </c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  <c r="AA346" s="212"/>
      <c r="AB346" s="212"/>
      <c r="AC346" s="196"/>
      <c r="AD346" s="27"/>
      <c r="AE346" s="213"/>
      <c r="AF346" s="212">
        <f t="shared" si="37"/>
        <v>2.8510213177184163E-2</v>
      </c>
      <c r="AG346" s="212"/>
      <c r="AH346" s="212"/>
      <c r="AI346" s="212"/>
      <c r="AJ346" s="212"/>
      <c r="AK346" s="212"/>
      <c r="AL346" s="212"/>
      <c r="AM346" s="212"/>
      <c r="AN346" s="212"/>
      <c r="AO346" s="212"/>
      <c r="AP346" s="196"/>
      <c r="AQ346" s="196"/>
      <c r="AR346" s="211"/>
      <c r="AS346" s="212"/>
      <c r="AT346" s="212"/>
      <c r="AU346" s="212"/>
      <c r="AW346" s="58"/>
      <c r="AX346" s="58"/>
      <c r="AY346" s="58"/>
      <c r="AZ346" s="58"/>
    </row>
    <row r="347" spans="1:52" s="185" customFormat="1" ht="15" customHeight="1" x14ac:dyDescent="0.25">
      <c r="A347" s="200"/>
      <c r="B347" s="211"/>
      <c r="C347" s="212">
        <f t="shared" si="32"/>
        <v>33.600000000000207</v>
      </c>
      <c r="D347" s="231">
        <f>15+[2]!STEPLOAD(5)</f>
        <v>20</v>
      </c>
      <c r="E347" s="212">
        <f t="shared" si="33"/>
        <v>45.511873561148455</v>
      </c>
      <c r="F347" s="212">
        <f t="shared" si="34"/>
        <v>0.5</v>
      </c>
      <c r="G347" s="212">
        <f>5</f>
        <v>5</v>
      </c>
      <c r="H347" s="212">
        <f>60</f>
        <v>60</v>
      </c>
      <c r="I347" s="212">
        <f t="shared" si="35"/>
        <v>0.9</v>
      </c>
      <c r="J347" s="212">
        <f>1</f>
        <v>1</v>
      </c>
      <c r="K347" s="212">
        <f t="shared" si="36"/>
        <v>4.1870000000000003</v>
      </c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212"/>
      <c r="Y347" s="212"/>
      <c r="Z347" s="212"/>
      <c r="AA347" s="212"/>
      <c r="AB347" s="212"/>
      <c r="AC347" s="196"/>
      <c r="AD347" s="27"/>
      <c r="AE347" s="213"/>
      <c r="AF347" s="212">
        <f t="shared" si="37"/>
        <v>2.8225111045412365E-2</v>
      </c>
      <c r="AG347" s="212"/>
      <c r="AH347" s="212"/>
      <c r="AI347" s="212"/>
      <c r="AJ347" s="212"/>
      <c r="AK347" s="212"/>
      <c r="AL347" s="212"/>
      <c r="AM347" s="212"/>
      <c r="AN347" s="212"/>
      <c r="AO347" s="212"/>
      <c r="AP347" s="196"/>
      <c r="AQ347" s="196"/>
      <c r="AR347" s="211"/>
      <c r="AS347" s="212"/>
      <c r="AT347" s="212"/>
      <c r="AU347" s="212"/>
      <c r="AW347" s="58"/>
      <c r="AX347" s="58"/>
      <c r="AY347" s="58"/>
      <c r="AZ347" s="58"/>
    </row>
    <row r="348" spans="1:52" s="185" customFormat="1" ht="15" customHeight="1" x14ac:dyDescent="0.25">
      <c r="A348" s="200"/>
      <c r="B348" s="211"/>
      <c r="C348" s="212">
        <f t="shared" si="32"/>
        <v>33.700000000000209</v>
      </c>
      <c r="D348" s="231">
        <f>15+[2]!STEPLOAD(5)</f>
        <v>20</v>
      </c>
      <c r="E348" s="212">
        <f t="shared" si="33"/>
        <v>45.514696072252995</v>
      </c>
      <c r="F348" s="212">
        <f t="shared" si="34"/>
        <v>0.5</v>
      </c>
      <c r="G348" s="212">
        <f>5</f>
        <v>5</v>
      </c>
      <c r="H348" s="212">
        <f>60</f>
        <v>60</v>
      </c>
      <c r="I348" s="212">
        <f t="shared" si="35"/>
        <v>0.9</v>
      </c>
      <c r="J348" s="212">
        <f>1</f>
        <v>1</v>
      </c>
      <c r="K348" s="212">
        <f t="shared" si="36"/>
        <v>4.1870000000000003</v>
      </c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212"/>
      <c r="Y348" s="212"/>
      <c r="Z348" s="212"/>
      <c r="AA348" s="212"/>
      <c r="AB348" s="212"/>
      <c r="AC348" s="196"/>
      <c r="AD348" s="27"/>
      <c r="AE348" s="213"/>
      <c r="AF348" s="212">
        <f t="shared" si="37"/>
        <v>2.7942859934958264E-2</v>
      </c>
      <c r="AG348" s="212"/>
      <c r="AH348" s="212"/>
      <c r="AI348" s="212"/>
      <c r="AJ348" s="212"/>
      <c r="AK348" s="212"/>
      <c r="AL348" s="212"/>
      <c r="AM348" s="212"/>
      <c r="AN348" s="212"/>
      <c r="AO348" s="212"/>
      <c r="AP348" s="196"/>
      <c r="AQ348" s="196"/>
      <c r="AR348" s="211"/>
      <c r="AS348" s="212"/>
      <c r="AT348" s="212"/>
      <c r="AU348" s="212"/>
      <c r="AW348" s="58"/>
      <c r="AX348" s="58"/>
      <c r="AY348" s="58"/>
      <c r="AZ348" s="58"/>
    </row>
    <row r="349" spans="1:52" s="185" customFormat="1" ht="15" customHeight="1" x14ac:dyDescent="0.25">
      <c r="A349" s="200"/>
      <c r="B349" s="211"/>
      <c r="C349" s="212">
        <f t="shared" si="32"/>
        <v>33.80000000000021</v>
      </c>
      <c r="D349" s="231">
        <f>15+[2]!STEPLOAD(5)</f>
        <v>20</v>
      </c>
      <c r="E349" s="212">
        <f t="shared" si="33"/>
        <v>45.517490358246491</v>
      </c>
      <c r="F349" s="212">
        <f t="shared" si="34"/>
        <v>0.5</v>
      </c>
      <c r="G349" s="212">
        <f>5</f>
        <v>5</v>
      </c>
      <c r="H349" s="212">
        <f>60</f>
        <v>60</v>
      </c>
      <c r="I349" s="212">
        <f t="shared" si="35"/>
        <v>0.9</v>
      </c>
      <c r="J349" s="212">
        <f>1</f>
        <v>1</v>
      </c>
      <c r="K349" s="212">
        <f t="shared" si="36"/>
        <v>4.1870000000000003</v>
      </c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  <c r="AA349" s="212"/>
      <c r="AB349" s="212"/>
      <c r="AC349" s="196"/>
      <c r="AD349" s="27"/>
      <c r="AE349" s="213"/>
      <c r="AF349" s="212">
        <f t="shared" si="37"/>
        <v>2.7663431335609001E-2</v>
      </c>
      <c r="AG349" s="212"/>
      <c r="AH349" s="212"/>
      <c r="AI349" s="212"/>
      <c r="AJ349" s="212"/>
      <c r="AK349" s="212"/>
      <c r="AL349" s="212"/>
      <c r="AM349" s="212"/>
      <c r="AN349" s="212"/>
      <c r="AO349" s="212"/>
      <c r="AP349" s="196"/>
      <c r="AQ349" s="196"/>
      <c r="AR349" s="211"/>
      <c r="AS349" s="212"/>
      <c r="AT349" s="212"/>
      <c r="AU349" s="212"/>
      <c r="AW349" s="58"/>
      <c r="AX349" s="58"/>
      <c r="AY349" s="58"/>
      <c r="AZ349" s="58"/>
    </row>
    <row r="350" spans="1:52" s="185" customFormat="1" ht="15" customHeight="1" x14ac:dyDescent="0.25">
      <c r="A350" s="200"/>
      <c r="B350" s="211"/>
      <c r="C350" s="212">
        <f t="shared" si="32"/>
        <v>33.900000000000212</v>
      </c>
      <c r="D350" s="231">
        <f>15+[2]!STEPLOAD(5)</f>
        <v>20</v>
      </c>
      <c r="E350" s="212">
        <f t="shared" si="33"/>
        <v>45.520256701380049</v>
      </c>
      <c r="F350" s="212">
        <f t="shared" si="34"/>
        <v>0.5</v>
      </c>
      <c r="G350" s="212">
        <f>5</f>
        <v>5</v>
      </c>
      <c r="H350" s="212">
        <f>60</f>
        <v>60</v>
      </c>
      <c r="I350" s="212">
        <f t="shared" si="35"/>
        <v>0.9</v>
      </c>
      <c r="J350" s="212">
        <f>1</f>
        <v>1</v>
      </c>
      <c r="K350" s="212">
        <f t="shared" si="36"/>
        <v>4.1870000000000003</v>
      </c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212"/>
      <c r="Y350" s="212"/>
      <c r="Z350" s="212"/>
      <c r="AA350" s="212"/>
      <c r="AB350" s="212"/>
      <c r="AC350" s="196"/>
      <c r="AD350" s="27"/>
      <c r="AE350" s="213"/>
      <c r="AF350" s="212">
        <f t="shared" si="37"/>
        <v>2.7386797022252996E-2</v>
      </c>
      <c r="AG350" s="212"/>
      <c r="AH350" s="212"/>
      <c r="AI350" s="212"/>
      <c r="AJ350" s="212"/>
      <c r="AK350" s="212"/>
      <c r="AL350" s="212"/>
      <c r="AM350" s="212"/>
      <c r="AN350" s="212"/>
      <c r="AO350" s="212"/>
      <c r="AP350" s="196"/>
      <c r="AQ350" s="196"/>
      <c r="AR350" s="211"/>
      <c r="AS350" s="212"/>
      <c r="AT350" s="212"/>
      <c r="AU350" s="212"/>
      <c r="AW350" s="58"/>
      <c r="AX350" s="58"/>
      <c r="AY350" s="58"/>
      <c r="AZ350" s="58"/>
    </row>
    <row r="351" spans="1:52" s="185" customFormat="1" ht="15" customHeight="1" x14ac:dyDescent="0.25">
      <c r="A351" s="200"/>
      <c r="B351" s="211"/>
      <c r="C351" s="212">
        <f t="shared" si="32"/>
        <v>34.000000000000213</v>
      </c>
      <c r="D351" s="231">
        <f>15+[2]!STEPLOAD(5)</f>
        <v>20</v>
      </c>
      <c r="E351" s="212">
        <f t="shared" si="33"/>
        <v>45.522995381082275</v>
      </c>
      <c r="F351" s="212">
        <f t="shared" si="34"/>
        <v>0.5</v>
      </c>
      <c r="G351" s="212">
        <f>5</f>
        <v>5</v>
      </c>
      <c r="H351" s="212">
        <f>60</f>
        <v>60</v>
      </c>
      <c r="I351" s="212">
        <f t="shared" si="35"/>
        <v>0.9</v>
      </c>
      <c r="J351" s="212">
        <f>1</f>
        <v>1</v>
      </c>
      <c r="K351" s="212">
        <f t="shared" si="36"/>
        <v>4.1870000000000003</v>
      </c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  <c r="AA351" s="212"/>
      <c r="AB351" s="212"/>
      <c r="AC351" s="196"/>
      <c r="AD351" s="27"/>
      <c r="AE351" s="213"/>
      <c r="AF351" s="212">
        <f t="shared" si="37"/>
        <v>2.7112929052030221E-2</v>
      </c>
      <c r="AG351" s="212"/>
      <c r="AH351" s="212"/>
      <c r="AI351" s="212"/>
      <c r="AJ351" s="212"/>
      <c r="AK351" s="212"/>
      <c r="AL351" s="212"/>
      <c r="AM351" s="212"/>
      <c r="AN351" s="212"/>
      <c r="AO351" s="212"/>
      <c r="AP351" s="196"/>
      <c r="AQ351" s="196"/>
      <c r="AR351" s="211"/>
      <c r="AS351" s="212"/>
      <c r="AT351" s="212"/>
      <c r="AU351" s="212"/>
      <c r="AW351" s="58"/>
      <c r="AX351" s="58"/>
      <c r="AY351" s="58"/>
      <c r="AZ351" s="58"/>
    </row>
    <row r="352" spans="1:52" s="185" customFormat="1" ht="15" customHeight="1" x14ac:dyDescent="0.25">
      <c r="A352" s="200"/>
      <c r="B352" s="211"/>
      <c r="C352" s="212">
        <f t="shared" si="32"/>
        <v>34.100000000000215</v>
      </c>
      <c r="D352" s="231">
        <f>15+[2]!STEPLOAD(5)</f>
        <v>20</v>
      </c>
      <c r="E352" s="212">
        <f t="shared" si="33"/>
        <v>45.525706673987479</v>
      </c>
      <c r="F352" s="212">
        <f t="shared" si="34"/>
        <v>0.5</v>
      </c>
      <c r="G352" s="212">
        <f>5</f>
        <v>5</v>
      </c>
      <c r="H352" s="212">
        <f>60</f>
        <v>60</v>
      </c>
      <c r="I352" s="212">
        <f t="shared" si="35"/>
        <v>0.9</v>
      </c>
      <c r="J352" s="212">
        <f>1</f>
        <v>1</v>
      </c>
      <c r="K352" s="212">
        <f t="shared" si="36"/>
        <v>4.1870000000000003</v>
      </c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212"/>
      <c r="Y352" s="212"/>
      <c r="Z352" s="212"/>
      <c r="AA352" s="212"/>
      <c r="AB352" s="212"/>
      <c r="AC352" s="196"/>
      <c r="AD352" s="27"/>
      <c r="AE352" s="213"/>
      <c r="AF352" s="212">
        <f t="shared" si="37"/>
        <v>2.6841799761510021E-2</v>
      </c>
      <c r="AG352" s="212"/>
      <c r="AH352" s="212"/>
      <c r="AI352" s="212"/>
      <c r="AJ352" s="212"/>
      <c r="AK352" s="212"/>
      <c r="AL352" s="212"/>
      <c r="AM352" s="212"/>
      <c r="AN352" s="212"/>
      <c r="AO352" s="212"/>
      <c r="AP352" s="196"/>
      <c r="AQ352" s="196"/>
      <c r="AR352" s="211"/>
      <c r="AS352" s="212"/>
      <c r="AT352" s="212"/>
      <c r="AU352" s="212"/>
      <c r="AW352" s="58"/>
      <c r="AX352" s="58"/>
      <c r="AY352" s="58"/>
      <c r="AZ352" s="58"/>
    </row>
    <row r="353" spans="1:52" s="185" customFormat="1" ht="15" customHeight="1" x14ac:dyDescent="0.25">
      <c r="A353" s="200"/>
      <c r="B353" s="211"/>
      <c r="C353" s="212">
        <f t="shared" si="32"/>
        <v>34.200000000000216</v>
      </c>
      <c r="D353" s="231">
        <f>15+[2]!STEPLOAD(5)</f>
        <v>20</v>
      </c>
      <c r="E353" s="212">
        <f t="shared" si="33"/>
        <v>45.528390853963629</v>
      </c>
      <c r="F353" s="212">
        <f t="shared" si="34"/>
        <v>0.5</v>
      </c>
      <c r="G353" s="212">
        <f>5</f>
        <v>5</v>
      </c>
      <c r="H353" s="212">
        <f>60</f>
        <v>60</v>
      </c>
      <c r="I353" s="212">
        <f t="shared" si="35"/>
        <v>0.9</v>
      </c>
      <c r="J353" s="212">
        <f>1</f>
        <v>1</v>
      </c>
      <c r="K353" s="212">
        <f t="shared" si="36"/>
        <v>4.1870000000000003</v>
      </c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212"/>
      <c r="Y353" s="212"/>
      <c r="Z353" s="212"/>
      <c r="AA353" s="212"/>
      <c r="AB353" s="212"/>
      <c r="AC353" s="196"/>
      <c r="AD353" s="27"/>
      <c r="AE353" s="213"/>
      <c r="AF353" s="212">
        <f t="shared" si="37"/>
        <v>2.6573381763895121E-2</v>
      </c>
      <c r="AG353" s="212"/>
      <c r="AH353" s="212"/>
      <c r="AI353" s="212"/>
      <c r="AJ353" s="212"/>
      <c r="AK353" s="212"/>
      <c r="AL353" s="212"/>
      <c r="AM353" s="212"/>
      <c r="AN353" s="212"/>
      <c r="AO353" s="212"/>
      <c r="AP353" s="196"/>
      <c r="AQ353" s="196"/>
      <c r="AR353" s="211"/>
      <c r="AS353" s="212"/>
      <c r="AT353" s="212"/>
      <c r="AU353" s="212"/>
      <c r="AW353" s="58"/>
      <c r="AX353" s="58"/>
      <c r="AY353" s="58"/>
      <c r="AZ353" s="58"/>
    </row>
    <row r="354" spans="1:52" s="185" customFormat="1" ht="15" customHeight="1" x14ac:dyDescent="0.25">
      <c r="A354" s="200"/>
      <c r="B354" s="211"/>
      <c r="C354" s="212">
        <f t="shared" si="32"/>
        <v>34.300000000000217</v>
      </c>
      <c r="D354" s="231">
        <f>15+[2]!STEPLOAD(5)</f>
        <v>20</v>
      </c>
      <c r="E354" s="212">
        <f t="shared" si="33"/>
        <v>45.53104819214002</v>
      </c>
      <c r="F354" s="212">
        <f t="shared" si="34"/>
        <v>0.5</v>
      </c>
      <c r="G354" s="212">
        <f>5</f>
        <v>5</v>
      </c>
      <c r="H354" s="212">
        <f>60</f>
        <v>60</v>
      </c>
      <c r="I354" s="212">
        <f t="shared" si="35"/>
        <v>0.9</v>
      </c>
      <c r="J354" s="212">
        <f>1</f>
        <v>1</v>
      </c>
      <c r="K354" s="212">
        <f t="shared" si="36"/>
        <v>4.1870000000000003</v>
      </c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  <c r="AA354" s="212"/>
      <c r="AB354" s="212"/>
      <c r="AC354" s="196"/>
      <c r="AD354" s="27"/>
      <c r="AE354" s="213"/>
      <c r="AF354" s="212">
        <f t="shared" si="37"/>
        <v>2.6307647946255841E-2</v>
      </c>
      <c r="AG354" s="212"/>
      <c r="AH354" s="212"/>
      <c r="AI354" s="212"/>
      <c r="AJ354" s="212"/>
      <c r="AK354" s="212"/>
      <c r="AL354" s="212"/>
      <c r="AM354" s="212"/>
      <c r="AN354" s="212"/>
      <c r="AO354" s="212"/>
      <c r="AP354" s="196"/>
      <c r="AQ354" s="196"/>
      <c r="AR354" s="211"/>
      <c r="AS354" s="212"/>
      <c r="AT354" s="212"/>
      <c r="AU354" s="212"/>
      <c r="AW354" s="58"/>
      <c r="AX354" s="58"/>
      <c r="AY354" s="58"/>
      <c r="AZ354" s="58"/>
    </row>
    <row r="355" spans="1:52" s="185" customFormat="1" ht="15" customHeight="1" x14ac:dyDescent="0.25">
      <c r="A355" s="200"/>
      <c r="B355" s="211"/>
      <c r="C355" s="212">
        <f t="shared" si="32"/>
        <v>34.400000000000219</v>
      </c>
      <c r="D355" s="231">
        <f>15+[2]!STEPLOAD(5)</f>
        <v>20</v>
      </c>
      <c r="E355" s="212">
        <f t="shared" si="33"/>
        <v>45.533678956934644</v>
      </c>
      <c r="F355" s="212">
        <f t="shared" si="34"/>
        <v>0.5</v>
      </c>
      <c r="G355" s="212">
        <f>5</f>
        <v>5</v>
      </c>
      <c r="H355" s="212">
        <f>60</f>
        <v>60</v>
      </c>
      <c r="I355" s="212">
        <f t="shared" si="35"/>
        <v>0.9</v>
      </c>
      <c r="J355" s="212">
        <f>1</f>
        <v>1</v>
      </c>
      <c r="K355" s="212">
        <f t="shared" si="36"/>
        <v>4.1870000000000003</v>
      </c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  <c r="AA355" s="212"/>
      <c r="AB355" s="212"/>
      <c r="AC355" s="196"/>
      <c r="AD355" s="27"/>
      <c r="AE355" s="213"/>
      <c r="AF355" s="212">
        <f t="shared" si="37"/>
        <v>2.604457146679362E-2</v>
      </c>
      <c r="AG355" s="212"/>
      <c r="AH355" s="212"/>
      <c r="AI355" s="212"/>
      <c r="AJ355" s="212"/>
      <c r="AK355" s="212"/>
      <c r="AL355" s="212"/>
      <c r="AM355" s="212"/>
      <c r="AN355" s="212"/>
      <c r="AO355" s="212"/>
      <c r="AP355" s="196"/>
      <c r="AQ355" s="196"/>
      <c r="AR355" s="211"/>
      <c r="AS355" s="212"/>
      <c r="AT355" s="212"/>
      <c r="AU355" s="212"/>
      <c r="AW355" s="58"/>
      <c r="AX355" s="58"/>
      <c r="AY355" s="58"/>
      <c r="AZ355" s="58"/>
    </row>
    <row r="356" spans="1:52" s="185" customFormat="1" ht="15" customHeight="1" x14ac:dyDescent="0.25">
      <c r="A356" s="200"/>
      <c r="B356" s="211"/>
      <c r="C356" s="212">
        <f t="shared" si="32"/>
        <v>34.50000000000022</v>
      </c>
      <c r="D356" s="231">
        <f>15+[2]!STEPLOAD(5)</f>
        <v>20</v>
      </c>
      <c r="E356" s="212">
        <f t="shared" si="33"/>
        <v>45.536283414081325</v>
      </c>
      <c r="F356" s="212">
        <f t="shared" si="34"/>
        <v>0.5</v>
      </c>
      <c r="G356" s="212">
        <f>5</f>
        <v>5</v>
      </c>
      <c r="H356" s="212">
        <f>60</f>
        <v>60</v>
      </c>
      <c r="I356" s="212">
        <f t="shared" si="35"/>
        <v>0.9</v>
      </c>
      <c r="J356" s="212">
        <f>1</f>
        <v>1</v>
      </c>
      <c r="K356" s="212">
        <f t="shared" si="36"/>
        <v>4.1870000000000003</v>
      </c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212"/>
      <c r="Y356" s="212"/>
      <c r="Z356" s="212"/>
      <c r="AA356" s="212"/>
      <c r="AB356" s="212"/>
      <c r="AC356" s="196"/>
      <c r="AD356" s="27"/>
      <c r="AE356" s="213"/>
      <c r="AF356" s="212">
        <f t="shared" si="37"/>
        <v>2.5784125752125409E-2</v>
      </c>
      <c r="AG356" s="212"/>
      <c r="AH356" s="212"/>
      <c r="AI356" s="212"/>
      <c r="AJ356" s="212"/>
      <c r="AK356" s="212"/>
      <c r="AL356" s="212"/>
      <c r="AM356" s="212"/>
      <c r="AN356" s="212"/>
      <c r="AO356" s="212"/>
      <c r="AP356" s="196"/>
      <c r="AQ356" s="196"/>
      <c r="AR356" s="211"/>
      <c r="AS356" s="212"/>
      <c r="AT356" s="212"/>
      <c r="AU356" s="212"/>
      <c r="AW356" s="58"/>
      <c r="AX356" s="58"/>
      <c r="AY356" s="58"/>
      <c r="AZ356" s="58"/>
    </row>
    <row r="357" spans="1:52" s="185" customFormat="1" ht="15" customHeight="1" x14ac:dyDescent="0.25">
      <c r="A357" s="200"/>
      <c r="B357" s="211"/>
      <c r="C357" s="212">
        <f t="shared" si="32"/>
        <v>34.600000000000222</v>
      </c>
      <c r="D357" s="231">
        <f>15+[2]!STEPLOAD(5)</f>
        <v>20</v>
      </c>
      <c r="E357" s="212">
        <f t="shared" si="33"/>
        <v>45.538861826656536</v>
      </c>
      <c r="F357" s="212">
        <f t="shared" si="34"/>
        <v>0.5</v>
      </c>
      <c r="G357" s="212">
        <f>5</f>
        <v>5</v>
      </c>
      <c r="H357" s="212">
        <f>60</f>
        <v>60</v>
      </c>
      <c r="I357" s="212">
        <f t="shared" si="35"/>
        <v>0.9</v>
      </c>
      <c r="J357" s="212">
        <f>1</f>
        <v>1</v>
      </c>
      <c r="K357" s="212">
        <f t="shared" si="36"/>
        <v>4.1870000000000003</v>
      </c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212"/>
      <c r="Y357" s="212"/>
      <c r="Z357" s="212"/>
      <c r="AA357" s="212"/>
      <c r="AB357" s="212"/>
      <c r="AC357" s="196"/>
      <c r="AD357" s="27"/>
      <c r="AE357" s="213"/>
      <c r="AF357" s="212">
        <f t="shared" si="37"/>
        <v>2.5526284494604479E-2</v>
      </c>
      <c r="AG357" s="212"/>
      <c r="AH357" s="212"/>
      <c r="AI357" s="212"/>
      <c r="AJ357" s="212"/>
      <c r="AK357" s="212"/>
      <c r="AL357" s="212"/>
      <c r="AM357" s="212"/>
      <c r="AN357" s="212"/>
      <c r="AO357" s="212"/>
      <c r="AP357" s="196"/>
      <c r="AQ357" s="196"/>
      <c r="AR357" s="211"/>
      <c r="AS357" s="212"/>
      <c r="AT357" s="212"/>
      <c r="AU357" s="212"/>
      <c r="AW357" s="58"/>
      <c r="AX357" s="58"/>
      <c r="AY357" s="58"/>
      <c r="AZ357" s="58"/>
    </row>
    <row r="358" spans="1:52" s="185" customFormat="1" ht="15" customHeight="1" x14ac:dyDescent="0.25">
      <c r="A358" s="200"/>
      <c r="B358" s="211"/>
      <c r="C358" s="212">
        <f t="shared" si="32"/>
        <v>34.700000000000223</v>
      </c>
      <c r="D358" s="231">
        <f>15+[2]!STEPLOAD(5)</f>
        <v>20</v>
      </c>
      <c r="E358" s="212">
        <f t="shared" si="33"/>
        <v>45.541414455105993</v>
      </c>
      <c r="F358" s="212">
        <f t="shared" si="34"/>
        <v>0.5</v>
      </c>
      <c r="G358" s="212">
        <f>5</f>
        <v>5</v>
      </c>
      <c r="H358" s="212">
        <f>60</f>
        <v>60</v>
      </c>
      <c r="I358" s="212">
        <f t="shared" si="35"/>
        <v>0.9</v>
      </c>
      <c r="J358" s="212">
        <f>1</f>
        <v>1</v>
      </c>
      <c r="K358" s="212">
        <f t="shared" si="36"/>
        <v>4.1870000000000003</v>
      </c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196"/>
      <c r="AD358" s="27"/>
      <c r="AE358" s="213"/>
      <c r="AF358" s="212">
        <f t="shared" si="37"/>
        <v>2.5271021649658554E-2</v>
      </c>
      <c r="AG358" s="212"/>
      <c r="AH358" s="212"/>
      <c r="AI358" s="212"/>
      <c r="AJ358" s="212"/>
      <c r="AK358" s="212"/>
      <c r="AL358" s="212"/>
      <c r="AM358" s="212"/>
      <c r="AN358" s="212"/>
      <c r="AO358" s="212"/>
      <c r="AP358" s="196"/>
      <c r="AQ358" s="196"/>
      <c r="AR358" s="211"/>
      <c r="AS358" s="212"/>
      <c r="AT358" s="212"/>
      <c r="AU358" s="212"/>
      <c r="AW358" s="58"/>
      <c r="AX358" s="58"/>
      <c r="AY358" s="58"/>
      <c r="AZ358" s="58"/>
    </row>
    <row r="359" spans="1:52" s="185" customFormat="1" ht="15" customHeight="1" x14ac:dyDescent="0.25">
      <c r="A359" s="200"/>
      <c r="B359" s="211"/>
      <c r="C359" s="212">
        <f t="shared" si="32"/>
        <v>34.800000000000225</v>
      </c>
      <c r="D359" s="231">
        <f>15+[2]!STEPLOAD(5)</f>
        <v>20</v>
      </c>
      <c r="E359" s="212">
        <f t="shared" si="33"/>
        <v>45.543941557270962</v>
      </c>
      <c r="F359" s="212">
        <f t="shared" si="34"/>
        <v>0.5</v>
      </c>
      <c r="G359" s="212">
        <f>5</f>
        <v>5</v>
      </c>
      <c r="H359" s="212">
        <f>60</f>
        <v>60</v>
      </c>
      <c r="I359" s="212">
        <f t="shared" si="35"/>
        <v>0.9</v>
      </c>
      <c r="J359" s="212">
        <f>1</f>
        <v>1</v>
      </c>
      <c r="K359" s="212">
        <f t="shared" si="36"/>
        <v>4.1870000000000003</v>
      </c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212"/>
      <c r="Y359" s="212"/>
      <c r="Z359" s="212"/>
      <c r="AA359" s="212"/>
      <c r="AB359" s="212"/>
      <c r="AC359" s="196"/>
      <c r="AD359" s="27"/>
      <c r="AE359" s="213"/>
      <c r="AF359" s="212">
        <f t="shared" si="37"/>
        <v>2.5018311433161688E-2</v>
      </c>
      <c r="AG359" s="212"/>
      <c r="AH359" s="212"/>
      <c r="AI359" s="212"/>
      <c r="AJ359" s="212"/>
      <c r="AK359" s="212"/>
      <c r="AL359" s="212"/>
      <c r="AM359" s="212"/>
      <c r="AN359" s="212"/>
      <c r="AO359" s="212"/>
      <c r="AP359" s="196"/>
      <c r="AQ359" s="196"/>
      <c r="AR359" s="211"/>
      <c r="AS359" s="212"/>
      <c r="AT359" s="212"/>
      <c r="AU359" s="212"/>
      <c r="AW359" s="58"/>
      <c r="AX359" s="58"/>
      <c r="AY359" s="58"/>
      <c r="AZ359" s="58"/>
    </row>
    <row r="360" spans="1:52" s="185" customFormat="1" ht="15" customHeight="1" x14ac:dyDescent="0.25">
      <c r="A360" s="200"/>
      <c r="B360" s="211"/>
      <c r="C360" s="212">
        <f t="shared" si="32"/>
        <v>34.900000000000226</v>
      </c>
      <c r="D360" s="231">
        <f>15+[2]!STEPLOAD(5)</f>
        <v>20</v>
      </c>
      <c r="E360" s="212">
        <f t="shared" si="33"/>
        <v>45.546443388414275</v>
      </c>
      <c r="F360" s="212">
        <f t="shared" si="34"/>
        <v>0.5</v>
      </c>
      <c r="G360" s="212">
        <f>5</f>
        <v>5</v>
      </c>
      <c r="H360" s="212">
        <f>60</f>
        <v>60</v>
      </c>
      <c r="I360" s="212">
        <f t="shared" si="35"/>
        <v>0.9</v>
      </c>
      <c r="J360" s="212">
        <f>1</f>
        <v>1</v>
      </c>
      <c r="K360" s="212">
        <f t="shared" si="36"/>
        <v>4.1870000000000003</v>
      </c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212"/>
      <c r="Y360" s="212"/>
      <c r="Z360" s="212"/>
      <c r="AA360" s="212"/>
      <c r="AB360" s="212"/>
      <c r="AC360" s="196"/>
      <c r="AD360" s="27"/>
      <c r="AE360" s="213"/>
      <c r="AF360" s="212">
        <f t="shared" si="37"/>
        <v>2.4768128318830573E-2</v>
      </c>
      <c r="AG360" s="212"/>
      <c r="AH360" s="212"/>
      <c r="AI360" s="212"/>
      <c r="AJ360" s="212"/>
      <c r="AK360" s="212"/>
      <c r="AL360" s="212"/>
      <c r="AM360" s="212"/>
      <c r="AN360" s="212"/>
      <c r="AO360" s="212"/>
      <c r="AP360" s="196"/>
      <c r="AQ360" s="196"/>
      <c r="AR360" s="211"/>
      <c r="AS360" s="212"/>
      <c r="AT360" s="212"/>
      <c r="AU360" s="212"/>
      <c r="AW360" s="58"/>
      <c r="AX360" s="58"/>
      <c r="AY360" s="58"/>
      <c r="AZ360" s="58"/>
    </row>
    <row r="361" spans="1:52" s="185" customFormat="1" ht="15" customHeight="1" x14ac:dyDescent="0.25">
      <c r="A361" s="200"/>
      <c r="B361" s="211"/>
      <c r="C361" s="212">
        <f t="shared" si="32"/>
        <v>35.000000000000227</v>
      </c>
      <c r="D361" s="231">
        <f>15+[2]!STEPLOAD(5)</f>
        <v>20</v>
      </c>
      <c r="E361" s="212">
        <f t="shared" si="33"/>
        <v>45.548920201246155</v>
      </c>
      <c r="F361" s="212">
        <f t="shared" si="34"/>
        <v>0.5</v>
      </c>
      <c r="G361" s="212">
        <f>5</f>
        <v>5</v>
      </c>
      <c r="H361" s="212">
        <f>60</f>
        <v>60</v>
      </c>
      <c r="I361" s="212">
        <f t="shared" si="35"/>
        <v>0.9</v>
      </c>
      <c r="J361" s="212">
        <f>1</f>
        <v>1</v>
      </c>
      <c r="K361" s="212">
        <f t="shared" si="36"/>
        <v>4.1870000000000003</v>
      </c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196"/>
      <c r="AD361" s="27"/>
      <c r="AE361" s="213"/>
      <c r="AF361" s="212">
        <f t="shared" si="37"/>
        <v>2.4520447035642601E-2</v>
      </c>
      <c r="AG361" s="212"/>
      <c r="AH361" s="212"/>
      <c r="AI361" s="212"/>
      <c r="AJ361" s="212"/>
      <c r="AK361" s="212"/>
      <c r="AL361" s="212"/>
      <c r="AM361" s="212"/>
      <c r="AN361" s="212"/>
      <c r="AO361" s="212"/>
      <c r="AP361" s="196"/>
      <c r="AQ361" s="196"/>
      <c r="AR361" s="211"/>
      <c r="AS361" s="212"/>
      <c r="AT361" s="212"/>
      <c r="AU361" s="212"/>
      <c r="AW361" s="58"/>
      <c r="AX361" s="58"/>
      <c r="AY361" s="58"/>
      <c r="AZ361" s="58"/>
    </row>
    <row r="362" spans="1:52" s="185" customFormat="1" ht="15" customHeight="1" x14ac:dyDescent="0.25">
      <c r="A362" s="200"/>
      <c r="B362" s="211"/>
      <c r="C362" s="212">
        <f t="shared" si="32"/>
        <v>35.100000000000229</v>
      </c>
      <c r="D362" s="231">
        <f>15+[2]!STEPLOAD(5)</f>
        <v>20</v>
      </c>
      <c r="E362" s="212">
        <f t="shared" si="33"/>
        <v>45.551372245949722</v>
      </c>
      <c r="F362" s="212">
        <f t="shared" si="34"/>
        <v>0.5</v>
      </c>
      <c r="G362" s="212">
        <f>5</f>
        <v>5</v>
      </c>
      <c r="H362" s="212">
        <f>60</f>
        <v>60</v>
      </c>
      <c r="I362" s="212">
        <f t="shared" si="35"/>
        <v>0.9</v>
      </c>
      <c r="J362" s="212">
        <f>1</f>
        <v>1</v>
      </c>
      <c r="K362" s="212">
        <f t="shared" si="36"/>
        <v>4.1870000000000003</v>
      </c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  <c r="AA362" s="212"/>
      <c r="AB362" s="212"/>
      <c r="AC362" s="196"/>
      <c r="AD362" s="27"/>
      <c r="AE362" s="213"/>
      <c r="AF362" s="212">
        <f t="shared" si="37"/>
        <v>2.4275242565285904E-2</v>
      </c>
      <c r="AG362" s="212"/>
      <c r="AH362" s="212"/>
      <c r="AI362" s="212"/>
      <c r="AJ362" s="212"/>
      <c r="AK362" s="212"/>
      <c r="AL362" s="212"/>
      <c r="AM362" s="212"/>
      <c r="AN362" s="212"/>
      <c r="AO362" s="212"/>
      <c r="AP362" s="196"/>
      <c r="AQ362" s="196"/>
      <c r="AR362" s="211"/>
      <c r="AS362" s="212"/>
      <c r="AT362" s="212"/>
      <c r="AU362" s="212"/>
      <c r="AW362" s="58"/>
      <c r="AX362" s="58"/>
      <c r="AY362" s="58"/>
      <c r="AZ362" s="58"/>
    </row>
    <row r="363" spans="1:52" s="185" customFormat="1" ht="15" customHeight="1" x14ac:dyDescent="0.25">
      <c r="A363" s="200"/>
      <c r="B363" s="211"/>
      <c r="C363" s="212">
        <f t="shared" si="32"/>
        <v>35.20000000000023</v>
      </c>
      <c r="D363" s="231">
        <f>15+[2]!STEPLOAD(5)</f>
        <v>20</v>
      </c>
      <c r="E363" s="212">
        <f t="shared" si="33"/>
        <v>45.553799770206247</v>
      </c>
      <c r="F363" s="212">
        <f t="shared" si="34"/>
        <v>0.5</v>
      </c>
      <c r="G363" s="212">
        <f>5</f>
        <v>5</v>
      </c>
      <c r="H363" s="212">
        <f>60</f>
        <v>60</v>
      </c>
      <c r="I363" s="212">
        <f t="shared" si="35"/>
        <v>0.9</v>
      </c>
      <c r="J363" s="212">
        <f>1</f>
        <v>1</v>
      </c>
      <c r="K363" s="212">
        <f t="shared" si="36"/>
        <v>4.1870000000000003</v>
      </c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  <c r="AC363" s="196"/>
      <c r="AD363" s="27"/>
      <c r="AE363" s="213"/>
      <c r="AF363" s="212">
        <f t="shared" si="37"/>
        <v>2.4032490139633378E-2</v>
      </c>
      <c r="AG363" s="212"/>
      <c r="AH363" s="212"/>
      <c r="AI363" s="212"/>
      <c r="AJ363" s="212"/>
      <c r="AK363" s="212"/>
      <c r="AL363" s="212"/>
      <c r="AM363" s="212"/>
      <c r="AN363" s="212"/>
      <c r="AO363" s="212"/>
      <c r="AP363" s="196"/>
      <c r="AQ363" s="196"/>
      <c r="AR363" s="211"/>
      <c r="AS363" s="212"/>
      <c r="AT363" s="212"/>
      <c r="AU363" s="212"/>
      <c r="AW363" s="58"/>
      <c r="AX363" s="58"/>
      <c r="AY363" s="58"/>
      <c r="AZ363" s="58"/>
    </row>
    <row r="364" spans="1:52" s="185" customFormat="1" ht="15" customHeight="1" x14ac:dyDescent="0.25">
      <c r="A364" s="200"/>
      <c r="B364" s="211"/>
      <c r="C364" s="212">
        <f t="shared" si="32"/>
        <v>35.300000000000232</v>
      </c>
      <c r="D364" s="231">
        <f>15+[2]!STEPLOAD(5)</f>
        <v>20</v>
      </c>
      <c r="E364" s="212">
        <f t="shared" si="33"/>
        <v>45.556203019220213</v>
      </c>
      <c r="F364" s="212">
        <f t="shared" si="34"/>
        <v>0.5</v>
      </c>
      <c r="G364" s="212">
        <f>5</f>
        <v>5</v>
      </c>
      <c r="H364" s="212">
        <f>60</f>
        <v>60</v>
      </c>
      <c r="I364" s="212">
        <f t="shared" si="35"/>
        <v>0.9</v>
      </c>
      <c r="J364" s="212">
        <f>1</f>
        <v>1</v>
      </c>
      <c r="K364" s="212">
        <f t="shared" si="36"/>
        <v>4.1870000000000003</v>
      </c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  <c r="AC364" s="196"/>
      <c r="AD364" s="27"/>
      <c r="AE364" s="213"/>
      <c r="AF364" s="212">
        <f t="shared" si="37"/>
        <v>2.3792165238236684E-2</v>
      </c>
      <c r="AG364" s="212"/>
      <c r="AH364" s="212"/>
      <c r="AI364" s="212"/>
      <c r="AJ364" s="212"/>
      <c r="AK364" s="212"/>
      <c r="AL364" s="212"/>
      <c r="AM364" s="212"/>
      <c r="AN364" s="212"/>
      <c r="AO364" s="212"/>
      <c r="AP364" s="196"/>
      <c r="AQ364" s="196"/>
      <c r="AR364" s="211"/>
      <c r="AS364" s="212"/>
      <c r="AT364" s="212"/>
      <c r="AU364" s="212"/>
      <c r="AW364" s="58"/>
      <c r="AX364" s="58"/>
      <c r="AY364" s="58"/>
      <c r="AZ364" s="58"/>
    </row>
    <row r="365" spans="1:52" s="185" customFormat="1" ht="15" customHeight="1" x14ac:dyDescent="0.25">
      <c r="A365" s="200"/>
      <c r="B365" s="211"/>
      <c r="C365" s="212">
        <f t="shared" si="32"/>
        <v>35.400000000000233</v>
      </c>
      <c r="D365" s="231">
        <f>15+[2]!STEPLOAD(5)</f>
        <v>20</v>
      </c>
      <c r="E365" s="212">
        <f t="shared" si="33"/>
        <v>45.558582235744034</v>
      </c>
      <c r="F365" s="212">
        <f t="shared" si="34"/>
        <v>0.5</v>
      </c>
      <c r="G365" s="212">
        <f>5</f>
        <v>5</v>
      </c>
      <c r="H365" s="212">
        <f>60</f>
        <v>60</v>
      </c>
      <c r="I365" s="212">
        <f t="shared" si="35"/>
        <v>0.9</v>
      </c>
      <c r="J365" s="212">
        <f>1</f>
        <v>1</v>
      </c>
      <c r="K365" s="212">
        <f t="shared" si="36"/>
        <v>4.1870000000000003</v>
      </c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  <c r="AA365" s="212"/>
      <c r="AB365" s="212"/>
      <c r="AC365" s="196"/>
      <c r="AD365" s="27"/>
      <c r="AE365" s="213"/>
      <c r="AF365" s="212">
        <f t="shared" si="37"/>
        <v>2.3554243585854451E-2</v>
      </c>
      <c r="AG365" s="212"/>
      <c r="AH365" s="212"/>
      <c r="AI365" s="212"/>
      <c r="AJ365" s="212"/>
      <c r="AK365" s="212"/>
      <c r="AL365" s="212"/>
      <c r="AM365" s="212"/>
      <c r="AN365" s="212"/>
      <c r="AO365" s="212"/>
      <c r="AP365" s="196"/>
      <c r="AQ365" s="196"/>
      <c r="AR365" s="211"/>
      <c r="AS365" s="212"/>
      <c r="AT365" s="212"/>
      <c r="AU365" s="212"/>
      <c r="AW365" s="58"/>
      <c r="AX365" s="58"/>
      <c r="AY365" s="58"/>
      <c r="AZ365" s="58"/>
    </row>
    <row r="366" spans="1:52" s="185" customFormat="1" ht="15" customHeight="1" x14ac:dyDescent="0.25">
      <c r="A366" s="200"/>
      <c r="B366" s="211"/>
      <c r="C366" s="212">
        <f t="shared" si="32"/>
        <v>35.500000000000234</v>
      </c>
      <c r="D366" s="231">
        <f>15+[2]!STEPLOAD(5)</f>
        <v>20</v>
      </c>
      <c r="E366" s="212">
        <f t="shared" si="33"/>
        <v>45.560937660102617</v>
      </c>
      <c r="F366" s="212">
        <f t="shared" si="34"/>
        <v>0.5</v>
      </c>
      <c r="G366" s="212">
        <f>5</f>
        <v>5</v>
      </c>
      <c r="H366" s="212">
        <f>60</f>
        <v>60</v>
      </c>
      <c r="I366" s="212">
        <f t="shared" si="35"/>
        <v>0.9</v>
      </c>
      <c r="J366" s="212">
        <f>1</f>
        <v>1</v>
      </c>
      <c r="K366" s="212">
        <f t="shared" si="36"/>
        <v>4.1870000000000003</v>
      </c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  <c r="AA366" s="212"/>
      <c r="AB366" s="212"/>
      <c r="AC366" s="196"/>
      <c r="AD366" s="27"/>
      <c r="AE366" s="213"/>
      <c r="AF366" s="212">
        <f t="shared" si="37"/>
        <v>2.3318701149996013E-2</v>
      </c>
      <c r="AG366" s="212"/>
      <c r="AH366" s="212"/>
      <c r="AI366" s="212"/>
      <c r="AJ366" s="212"/>
      <c r="AK366" s="212"/>
      <c r="AL366" s="212"/>
      <c r="AM366" s="212"/>
      <c r="AN366" s="212"/>
      <c r="AO366" s="212"/>
      <c r="AP366" s="196"/>
      <c r="AQ366" s="196"/>
      <c r="AR366" s="211"/>
      <c r="AS366" s="212"/>
      <c r="AT366" s="212"/>
      <c r="AU366" s="212"/>
      <c r="AW366" s="58"/>
      <c r="AX366" s="58"/>
      <c r="AY366" s="58"/>
      <c r="AZ366" s="58"/>
    </row>
    <row r="367" spans="1:52" s="185" customFormat="1" ht="15" customHeight="1" x14ac:dyDescent="0.25">
      <c r="A367" s="200"/>
      <c r="B367" s="211"/>
      <c r="C367" s="212">
        <f t="shared" si="32"/>
        <v>35.600000000000236</v>
      </c>
      <c r="D367" s="231">
        <f>15+[2]!STEPLOAD(5)</f>
        <v>20</v>
      </c>
      <c r="E367" s="212">
        <f t="shared" si="33"/>
        <v>45.563269530217617</v>
      </c>
      <c r="F367" s="212">
        <f t="shared" si="34"/>
        <v>0.5</v>
      </c>
      <c r="G367" s="212">
        <f>5</f>
        <v>5</v>
      </c>
      <c r="H367" s="212">
        <f>60</f>
        <v>60</v>
      </c>
      <c r="I367" s="212">
        <f t="shared" si="35"/>
        <v>0.9</v>
      </c>
      <c r="J367" s="212">
        <f>1</f>
        <v>1</v>
      </c>
      <c r="K367" s="212">
        <f t="shared" si="36"/>
        <v>4.1870000000000003</v>
      </c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  <c r="AC367" s="196"/>
      <c r="AD367" s="27"/>
      <c r="AE367" s="213"/>
      <c r="AF367" s="212">
        <f t="shared" si="37"/>
        <v>2.3085514138496244E-2</v>
      </c>
      <c r="AG367" s="212"/>
      <c r="AH367" s="212"/>
      <c r="AI367" s="212"/>
      <c r="AJ367" s="212"/>
      <c r="AK367" s="212"/>
      <c r="AL367" s="212"/>
      <c r="AM367" s="212"/>
      <c r="AN367" s="212"/>
      <c r="AO367" s="212"/>
      <c r="AP367" s="196"/>
      <c r="AQ367" s="196"/>
      <c r="AR367" s="211"/>
      <c r="AS367" s="212"/>
      <c r="AT367" s="212"/>
      <c r="AU367" s="212"/>
      <c r="AW367" s="58"/>
      <c r="AX367" s="58"/>
      <c r="AY367" s="58"/>
      <c r="AZ367" s="58"/>
    </row>
    <row r="368" spans="1:52" s="185" customFormat="1" ht="15" customHeight="1" x14ac:dyDescent="0.25">
      <c r="A368" s="200"/>
      <c r="B368" s="211"/>
      <c r="C368" s="212">
        <f t="shared" si="32"/>
        <v>35.700000000000237</v>
      </c>
      <c r="D368" s="231">
        <f>15+[2]!STEPLOAD(5)</f>
        <v>20</v>
      </c>
      <c r="E368" s="212">
        <f t="shared" si="33"/>
        <v>45.565578081631465</v>
      </c>
      <c r="F368" s="212">
        <f t="shared" si="34"/>
        <v>0.5</v>
      </c>
      <c r="G368" s="212">
        <f>5</f>
        <v>5</v>
      </c>
      <c r="H368" s="212">
        <f>60</f>
        <v>60</v>
      </c>
      <c r="I368" s="212">
        <f t="shared" si="35"/>
        <v>0.9</v>
      </c>
      <c r="J368" s="212">
        <f>1</f>
        <v>1</v>
      </c>
      <c r="K368" s="212">
        <f t="shared" si="36"/>
        <v>4.1870000000000003</v>
      </c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  <c r="AA368" s="212"/>
      <c r="AB368" s="212"/>
      <c r="AC368" s="196"/>
      <c r="AD368" s="27"/>
      <c r="AE368" s="213"/>
      <c r="AF368" s="212">
        <f t="shared" si="37"/>
        <v>2.2854658997111255E-2</v>
      </c>
      <c r="AG368" s="212"/>
      <c r="AH368" s="212"/>
      <c r="AI368" s="212"/>
      <c r="AJ368" s="212"/>
      <c r="AK368" s="212"/>
      <c r="AL368" s="212"/>
      <c r="AM368" s="212"/>
      <c r="AN368" s="212"/>
      <c r="AO368" s="212"/>
      <c r="AP368" s="196"/>
      <c r="AQ368" s="196"/>
      <c r="AR368" s="211"/>
      <c r="AS368" s="212"/>
      <c r="AT368" s="212"/>
      <c r="AU368" s="212"/>
      <c r="AW368" s="58"/>
      <c r="AX368" s="58"/>
      <c r="AY368" s="58"/>
      <c r="AZ368" s="58"/>
    </row>
    <row r="369" spans="1:52" s="185" customFormat="1" ht="15" customHeight="1" x14ac:dyDescent="0.25">
      <c r="A369" s="200"/>
      <c r="B369" s="211"/>
      <c r="C369" s="212">
        <f t="shared" si="32"/>
        <v>35.800000000000239</v>
      </c>
      <c r="D369" s="231">
        <f>15+[2]!STEPLOAD(5)</f>
        <v>20</v>
      </c>
      <c r="E369" s="212">
        <f t="shared" si="33"/>
        <v>45.567863547531175</v>
      </c>
      <c r="F369" s="212">
        <f t="shared" si="34"/>
        <v>0.5</v>
      </c>
      <c r="G369" s="212">
        <f>5</f>
        <v>5</v>
      </c>
      <c r="H369" s="212">
        <f>60</f>
        <v>60</v>
      </c>
      <c r="I369" s="212">
        <f t="shared" si="35"/>
        <v>0.9</v>
      </c>
      <c r="J369" s="212">
        <f>1</f>
        <v>1</v>
      </c>
      <c r="K369" s="212">
        <f t="shared" si="36"/>
        <v>4.1870000000000003</v>
      </c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  <c r="AA369" s="212"/>
      <c r="AB369" s="212"/>
      <c r="AC369" s="196"/>
      <c r="AD369" s="27"/>
      <c r="AE369" s="213"/>
      <c r="AF369" s="212">
        <f t="shared" si="37"/>
        <v>2.2626112407140297E-2</v>
      </c>
      <c r="AG369" s="212"/>
      <c r="AH369" s="212"/>
      <c r="AI369" s="212"/>
      <c r="AJ369" s="212"/>
      <c r="AK369" s="212"/>
      <c r="AL369" s="212"/>
      <c r="AM369" s="212"/>
      <c r="AN369" s="212"/>
      <c r="AO369" s="212"/>
      <c r="AP369" s="196"/>
      <c r="AQ369" s="196"/>
      <c r="AR369" s="211"/>
      <c r="AS369" s="212"/>
      <c r="AT369" s="212"/>
      <c r="AU369" s="212"/>
      <c r="AW369" s="58"/>
      <c r="AX369" s="58"/>
      <c r="AY369" s="58"/>
      <c r="AZ369" s="58"/>
    </row>
    <row r="370" spans="1:52" s="185" customFormat="1" ht="15" customHeight="1" x14ac:dyDescent="0.25">
      <c r="A370" s="200"/>
      <c r="B370" s="211"/>
      <c r="C370" s="212">
        <f t="shared" si="32"/>
        <v>35.90000000000024</v>
      </c>
      <c r="D370" s="231">
        <f>15+[2]!STEPLOAD(5)</f>
        <v>20</v>
      </c>
      <c r="E370" s="212">
        <f t="shared" si="33"/>
        <v>45.570126158771892</v>
      </c>
      <c r="F370" s="212">
        <f t="shared" si="34"/>
        <v>0.5</v>
      </c>
      <c r="G370" s="212">
        <f>5</f>
        <v>5</v>
      </c>
      <c r="H370" s="212">
        <f>60</f>
        <v>60</v>
      </c>
      <c r="I370" s="212">
        <f t="shared" si="35"/>
        <v>0.9</v>
      </c>
      <c r="J370" s="212">
        <f>1</f>
        <v>1</v>
      </c>
      <c r="K370" s="212">
        <f t="shared" si="36"/>
        <v>4.1870000000000003</v>
      </c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212"/>
      <c r="Y370" s="212"/>
      <c r="Z370" s="212"/>
      <c r="AA370" s="212"/>
      <c r="AB370" s="212"/>
      <c r="AC370" s="196"/>
      <c r="AD370" s="27"/>
      <c r="AE370" s="213"/>
      <c r="AF370" s="212">
        <f t="shared" si="37"/>
        <v>2.2399851283068539E-2</v>
      </c>
      <c r="AG370" s="212"/>
      <c r="AH370" s="212"/>
      <c r="AI370" s="212"/>
      <c r="AJ370" s="212"/>
      <c r="AK370" s="212"/>
      <c r="AL370" s="212"/>
      <c r="AM370" s="212"/>
      <c r="AN370" s="212"/>
      <c r="AO370" s="212"/>
      <c r="AP370" s="196"/>
      <c r="AQ370" s="196"/>
      <c r="AR370" s="211"/>
      <c r="AS370" s="212"/>
      <c r="AT370" s="212"/>
      <c r="AU370" s="212"/>
      <c r="AW370" s="58"/>
      <c r="AX370" s="58"/>
      <c r="AY370" s="58"/>
      <c r="AZ370" s="58"/>
    </row>
    <row r="371" spans="1:52" s="185" customFormat="1" ht="15" customHeight="1" x14ac:dyDescent="0.25">
      <c r="A371" s="200"/>
      <c r="B371" s="211"/>
      <c r="C371" s="212">
        <f t="shared" si="32"/>
        <v>36.000000000000242</v>
      </c>
      <c r="D371" s="231">
        <f>15+[2]!STEPLOAD(5)</f>
        <v>20</v>
      </c>
      <c r="E371" s="212">
        <f t="shared" si="33"/>
        <v>45.572366143900197</v>
      </c>
      <c r="F371" s="212">
        <f t="shared" si="34"/>
        <v>0.5</v>
      </c>
      <c r="G371" s="212">
        <f>5</f>
        <v>5</v>
      </c>
      <c r="H371" s="212">
        <f>60</f>
        <v>60</v>
      </c>
      <c r="I371" s="212">
        <f t="shared" si="35"/>
        <v>0.9</v>
      </c>
      <c r="J371" s="212">
        <f>1</f>
        <v>1</v>
      </c>
      <c r="K371" s="212">
        <f t="shared" si="36"/>
        <v>4.1870000000000003</v>
      </c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212"/>
      <c r="Y371" s="212"/>
      <c r="Z371" s="212"/>
      <c r="AA371" s="212"/>
      <c r="AB371" s="212"/>
      <c r="AC371" s="196"/>
      <c r="AD371" s="27"/>
      <c r="AE371" s="213"/>
      <c r="AF371" s="212">
        <f t="shared" si="37"/>
        <v>2.2175852770238258E-2</v>
      </c>
      <c r="AG371" s="212"/>
      <c r="AH371" s="212"/>
      <c r="AI371" s="212"/>
      <c r="AJ371" s="212"/>
      <c r="AK371" s="212"/>
      <c r="AL371" s="212"/>
      <c r="AM371" s="212"/>
      <c r="AN371" s="212"/>
      <c r="AO371" s="212"/>
      <c r="AP371" s="196"/>
      <c r="AQ371" s="196"/>
      <c r="AR371" s="211"/>
      <c r="AS371" s="212"/>
      <c r="AT371" s="212"/>
      <c r="AU371" s="212"/>
      <c r="AW371" s="58"/>
      <c r="AX371" s="58"/>
      <c r="AY371" s="58"/>
      <c r="AZ371" s="58"/>
    </row>
    <row r="372" spans="1:52" s="185" customFormat="1" ht="15" customHeight="1" x14ac:dyDescent="0.25">
      <c r="A372" s="200"/>
      <c r="B372" s="211"/>
      <c r="C372" s="212">
        <f t="shared" si="32"/>
        <v>36.100000000000243</v>
      </c>
      <c r="D372" s="231">
        <f>15+[2]!STEPLOAD(5)</f>
        <v>20</v>
      </c>
      <c r="E372" s="212">
        <f t="shared" si="33"/>
        <v>45.57458372917722</v>
      </c>
      <c r="F372" s="212">
        <f t="shared" si="34"/>
        <v>0.5</v>
      </c>
      <c r="G372" s="212">
        <f>5</f>
        <v>5</v>
      </c>
      <c r="H372" s="212">
        <f>60</f>
        <v>60</v>
      </c>
      <c r="I372" s="212">
        <f t="shared" si="35"/>
        <v>0.9</v>
      </c>
      <c r="J372" s="212">
        <f>1</f>
        <v>1</v>
      </c>
      <c r="K372" s="212">
        <f t="shared" si="36"/>
        <v>4.1870000000000003</v>
      </c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212"/>
      <c r="Y372" s="212"/>
      <c r="Z372" s="212"/>
      <c r="AA372" s="212"/>
      <c r="AB372" s="212"/>
      <c r="AC372" s="196"/>
      <c r="AD372" s="27"/>
      <c r="AE372" s="213"/>
      <c r="AF372" s="212">
        <f t="shared" si="37"/>
        <v>2.1954094242536026E-2</v>
      </c>
      <c r="AG372" s="212"/>
      <c r="AH372" s="212"/>
      <c r="AI372" s="212"/>
      <c r="AJ372" s="212"/>
      <c r="AK372" s="212"/>
      <c r="AL372" s="212"/>
      <c r="AM372" s="212"/>
      <c r="AN372" s="212"/>
      <c r="AO372" s="212"/>
      <c r="AP372" s="196"/>
      <c r="AQ372" s="196"/>
      <c r="AR372" s="211"/>
      <c r="AS372" s="212"/>
      <c r="AT372" s="212"/>
      <c r="AU372" s="212"/>
      <c r="AW372" s="58"/>
      <c r="AX372" s="58"/>
      <c r="AY372" s="58"/>
      <c r="AZ372" s="58"/>
    </row>
    <row r="373" spans="1:52" s="185" customFormat="1" ht="15" customHeight="1" x14ac:dyDescent="0.25">
      <c r="A373" s="200"/>
      <c r="B373" s="211"/>
      <c r="C373" s="212">
        <f t="shared" si="32"/>
        <v>36.200000000000244</v>
      </c>
      <c r="D373" s="231">
        <f>15+[2]!STEPLOAD(5)</f>
        <v>20</v>
      </c>
      <c r="E373" s="212">
        <f t="shared" si="33"/>
        <v>45.576779138601474</v>
      </c>
      <c r="F373" s="212">
        <f t="shared" si="34"/>
        <v>0.5</v>
      </c>
      <c r="G373" s="212">
        <f>5</f>
        <v>5</v>
      </c>
      <c r="H373" s="212">
        <f>60</f>
        <v>60</v>
      </c>
      <c r="I373" s="212">
        <f t="shared" si="35"/>
        <v>0.9</v>
      </c>
      <c r="J373" s="212">
        <f>1</f>
        <v>1</v>
      </c>
      <c r="K373" s="212">
        <f t="shared" si="36"/>
        <v>4.1870000000000003</v>
      </c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212"/>
      <c r="Y373" s="212"/>
      <c r="Z373" s="212"/>
      <c r="AA373" s="212"/>
      <c r="AB373" s="212"/>
      <c r="AC373" s="196"/>
      <c r="AD373" s="27"/>
      <c r="AE373" s="213"/>
      <c r="AF373" s="212">
        <f t="shared" si="37"/>
        <v>2.1734553300110537E-2</v>
      </c>
      <c r="AG373" s="212"/>
      <c r="AH373" s="212"/>
      <c r="AI373" s="212"/>
      <c r="AJ373" s="212"/>
      <c r="AK373" s="212"/>
      <c r="AL373" s="212"/>
      <c r="AM373" s="212"/>
      <c r="AN373" s="212"/>
      <c r="AO373" s="212"/>
      <c r="AP373" s="196"/>
      <c r="AQ373" s="196"/>
      <c r="AR373" s="211"/>
      <c r="AS373" s="212"/>
      <c r="AT373" s="212"/>
      <c r="AU373" s="212"/>
      <c r="AW373" s="58"/>
      <c r="AX373" s="58"/>
      <c r="AY373" s="58"/>
      <c r="AZ373" s="58"/>
    </row>
    <row r="374" spans="1:52" s="185" customFormat="1" ht="15" customHeight="1" x14ac:dyDescent="0.25">
      <c r="A374" s="200"/>
      <c r="B374" s="211"/>
      <c r="C374" s="212">
        <f t="shared" si="32"/>
        <v>36.300000000000246</v>
      </c>
      <c r="D374" s="231">
        <f>15+[2]!STEPLOAD(5)</f>
        <v>20</v>
      </c>
      <c r="E374" s="212">
        <f t="shared" si="33"/>
        <v>45.578952593931483</v>
      </c>
      <c r="F374" s="212">
        <f t="shared" si="34"/>
        <v>0.5</v>
      </c>
      <c r="G374" s="212">
        <f>5</f>
        <v>5</v>
      </c>
      <c r="H374" s="212">
        <f>60</f>
        <v>60</v>
      </c>
      <c r="I374" s="212">
        <f t="shared" si="35"/>
        <v>0.9</v>
      </c>
      <c r="J374" s="212">
        <f>1</f>
        <v>1</v>
      </c>
      <c r="K374" s="212">
        <f t="shared" si="36"/>
        <v>4.1870000000000003</v>
      </c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212"/>
      <c r="Y374" s="212"/>
      <c r="Z374" s="212"/>
      <c r="AA374" s="212"/>
      <c r="AB374" s="212"/>
      <c r="AC374" s="196"/>
      <c r="AD374" s="27"/>
      <c r="AE374" s="213"/>
      <c r="AF374" s="212">
        <f t="shared" si="37"/>
        <v>2.1517207767109525E-2</v>
      </c>
      <c r="AG374" s="212"/>
      <c r="AH374" s="212"/>
      <c r="AI374" s="212"/>
      <c r="AJ374" s="212"/>
      <c r="AK374" s="212"/>
      <c r="AL374" s="212"/>
      <c r="AM374" s="212"/>
      <c r="AN374" s="212"/>
      <c r="AO374" s="212"/>
      <c r="AP374" s="196"/>
      <c r="AQ374" s="196"/>
      <c r="AR374" s="211"/>
      <c r="AS374" s="212"/>
      <c r="AT374" s="212"/>
      <c r="AU374" s="212"/>
      <c r="AW374" s="58"/>
      <c r="AX374" s="58"/>
      <c r="AY374" s="58"/>
      <c r="AZ374" s="58"/>
    </row>
    <row r="375" spans="1:52" s="185" customFormat="1" ht="15" customHeight="1" x14ac:dyDescent="0.25">
      <c r="A375" s="200"/>
      <c r="B375" s="211"/>
      <c r="C375" s="212">
        <f t="shared" si="32"/>
        <v>36.400000000000247</v>
      </c>
      <c r="D375" s="231">
        <f>15+[2]!STEPLOAD(5)</f>
        <v>20</v>
      </c>
      <c r="E375" s="212">
        <f t="shared" si="33"/>
        <v>45.581104314708192</v>
      </c>
      <c r="F375" s="212">
        <f t="shared" si="34"/>
        <v>0.5</v>
      </c>
      <c r="G375" s="212">
        <f>5</f>
        <v>5</v>
      </c>
      <c r="H375" s="212">
        <f>60</f>
        <v>60</v>
      </c>
      <c r="I375" s="212">
        <f t="shared" si="35"/>
        <v>0.9</v>
      </c>
      <c r="J375" s="212">
        <f>1</f>
        <v>1</v>
      </c>
      <c r="K375" s="212">
        <f t="shared" si="36"/>
        <v>4.1870000000000003</v>
      </c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212"/>
      <c r="Y375" s="212"/>
      <c r="Z375" s="212"/>
      <c r="AA375" s="212"/>
      <c r="AB375" s="212"/>
      <c r="AC375" s="196"/>
      <c r="AD375" s="27"/>
      <c r="AE375" s="213"/>
      <c r="AF375" s="212">
        <f t="shared" si="37"/>
        <v>2.1302035689438892E-2</v>
      </c>
      <c r="AG375" s="212"/>
      <c r="AH375" s="212"/>
      <c r="AI375" s="212"/>
      <c r="AJ375" s="212"/>
      <c r="AK375" s="212"/>
      <c r="AL375" s="212"/>
      <c r="AM375" s="212"/>
      <c r="AN375" s="212"/>
      <c r="AO375" s="212"/>
      <c r="AP375" s="196"/>
      <c r="AQ375" s="196"/>
      <c r="AR375" s="211"/>
      <c r="AS375" s="212"/>
      <c r="AT375" s="212"/>
      <c r="AU375" s="212"/>
      <c r="AW375" s="58"/>
      <c r="AX375" s="58"/>
      <c r="AY375" s="58"/>
      <c r="AZ375" s="58"/>
    </row>
    <row r="376" spans="1:52" s="185" customFormat="1" ht="15" customHeight="1" x14ac:dyDescent="0.25">
      <c r="A376" s="200"/>
      <c r="B376" s="211"/>
      <c r="C376" s="212">
        <f t="shared" si="32"/>
        <v>36.500000000000249</v>
      </c>
      <c r="D376" s="231">
        <f>15+[2]!STEPLOAD(5)</f>
        <v>20</v>
      </c>
      <c r="E376" s="212">
        <f t="shared" si="33"/>
        <v>45.583234518277138</v>
      </c>
      <c r="F376" s="212">
        <f t="shared" si="34"/>
        <v>0.5</v>
      </c>
      <c r="G376" s="212">
        <f>5</f>
        <v>5</v>
      </c>
      <c r="H376" s="212">
        <f>60</f>
        <v>60</v>
      </c>
      <c r="I376" s="212">
        <f t="shared" si="35"/>
        <v>0.9</v>
      </c>
      <c r="J376" s="212">
        <f>1</f>
        <v>1</v>
      </c>
      <c r="K376" s="212">
        <f t="shared" si="36"/>
        <v>4.1870000000000003</v>
      </c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196"/>
      <c r="AD376" s="27"/>
      <c r="AE376" s="213"/>
      <c r="AF376" s="212">
        <f t="shared" si="37"/>
        <v>2.1089015332544037E-2</v>
      </c>
      <c r="AG376" s="212"/>
      <c r="AH376" s="212"/>
      <c r="AI376" s="212"/>
      <c r="AJ376" s="212"/>
      <c r="AK376" s="212"/>
      <c r="AL376" s="212"/>
      <c r="AM376" s="212"/>
      <c r="AN376" s="212"/>
      <c r="AO376" s="212"/>
      <c r="AP376" s="196"/>
      <c r="AQ376" s="196"/>
      <c r="AR376" s="211"/>
      <c r="AS376" s="212"/>
      <c r="AT376" s="212"/>
      <c r="AU376" s="212"/>
      <c r="AW376" s="58"/>
      <c r="AX376" s="58"/>
      <c r="AY376" s="58"/>
      <c r="AZ376" s="58"/>
    </row>
    <row r="377" spans="1:52" s="185" customFormat="1" ht="15" customHeight="1" x14ac:dyDescent="0.25">
      <c r="A377" s="200"/>
      <c r="B377" s="211"/>
      <c r="C377" s="212">
        <f t="shared" si="32"/>
        <v>36.60000000000025</v>
      </c>
      <c r="D377" s="231">
        <f>15+[2]!STEPLOAD(5)</f>
        <v>20</v>
      </c>
      <c r="E377" s="212">
        <f t="shared" si="33"/>
        <v>45.585343419810393</v>
      </c>
      <c r="F377" s="212">
        <f t="shared" si="34"/>
        <v>0.5</v>
      </c>
      <c r="G377" s="212">
        <f>5</f>
        <v>5</v>
      </c>
      <c r="H377" s="212">
        <f>60</f>
        <v>60</v>
      </c>
      <c r="I377" s="212">
        <f t="shared" si="35"/>
        <v>0.9</v>
      </c>
      <c r="J377" s="212">
        <f>1</f>
        <v>1</v>
      </c>
      <c r="K377" s="212">
        <f t="shared" si="36"/>
        <v>4.1870000000000003</v>
      </c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  <c r="AA377" s="212"/>
      <c r="AB377" s="212"/>
      <c r="AC377" s="196"/>
      <c r="AD377" s="27"/>
      <c r="AE377" s="213"/>
      <c r="AF377" s="212">
        <f t="shared" si="37"/>
        <v>2.0878125179218721E-2</v>
      </c>
      <c r="AG377" s="212"/>
      <c r="AH377" s="212"/>
      <c r="AI377" s="212"/>
      <c r="AJ377" s="212"/>
      <c r="AK377" s="212"/>
      <c r="AL377" s="212"/>
      <c r="AM377" s="212"/>
      <c r="AN377" s="212"/>
      <c r="AO377" s="212"/>
      <c r="AP377" s="196"/>
      <c r="AQ377" s="196"/>
      <c r="AR377" s="211"/>
      <c r="AS377" s="212"/>
      <c r="AT377" s="212"/>
      <c r="AU377" s="212"/>
      <c r="AW377" s="58"/>
      <c r="AX377" s="58"/>
      <c r="AY377" s="58"/>
      <c r="AZ377" s="58"/>
    </row>
    <row r="378" spans="1:52" s="185" customFormat="1" ht="15" customHeight="1" x14ac:dyDescent="0.25">
      <c r="A378" s="200"/>
      <c r="B378" s="211"/>
      <c r="C378" s="212">
        <f t="shared" si="32"/>
        <v>36.700000000000252</v>
      </c>
      <c r="D378" s="231">
        <f>15+[2]!STEPLOAD(5)</f>
        <v>20</v>
      </c>
      <c r="E378" s="212">
        <f t="shared" si="33"/>
        <v>45.587431232328314</v>
      </c>
      <c r="F378" s="212">
        <f t="shared" si="34"/>
        <v>0.5</v>
      </c>
      <c r="G378" s="212">
        <f>5</f>
        <v>5</v>
      </c>
      <c r="H378" s="212">
        <f>60</f>
        <v>60</v>
      </c>
      <c r="I378" s="212">
        <f t="shared" si="35"/>
        <v>0.9</v>
      </c>
      <c r="J378" s="212">
        <f>1</f>
        <v>1</v>
      </c>
      <c r="K378" s="212">
        <f t="shared" si="36"/>
        <v>4.1870000000000003</v>
      </c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212"/>
      <c r="Y378" s="212"/>
      <c r="Z378" s="212"/>
      <c r="AA378" s="212"/>
      <c r="AB378" s="212"/>
      <c r="AC378" s="196"/>
      <c r="AD378" s="27"/>
      <c r="AE378" s="213"/>
      <c r="AF378" s="212">
        <f t="shared" si="37"/>
        <v>2.0669343927426365E-2</v>
      </c>
      <c r="AG378" s="212"/>
      <c r="AH378" s="212"/>
      <c r="AI378" s="212"/>
      <c r="AJ378" s="212"/>
      <c r="AK378" s="212"/>
      <c r="AL378" s="212"/>
      <c r="AM378" s="212"/>
      <c r="AN378" s="212"/>
      <c r="AO378" s="212"/>
      <c r="AP378" s="196"/>
      <c r="AQ378" s="196"/>
      <c r="AR378" s="211"/>
      <c r="AS378" s="212"/>
      <c r="AT378" s="212"/>
      <c r="AU378" s="212"/>
      <c r="AW378" s="58"/>
      <c r="AX378" s="58"/>
      <c r="AY378" s="58"/>
      <c r="AZ378" s="58"/>
    </row>
    <row r="379" spans="1:52" s="185" customFormat="1" ht="15" customHeight="1" x14ac:dyDescent="0.25">
      <c r="A379" s="200"/>
      <c r="B379" s="211"/>
      <c r="C379" s="212">
        <f t="shared" si="32"/>
        <v>36.800000000000253</v>
      </c>
      <c r="D379" s="231">
        <f>15+[2]!STEPLOAD(5)</f>
        <v>20</v>
      </c>
      <c r="E379" s="212">
        <f t="shared" si="33"/>
        <v>45.589498166721057</v>
      </c>
      <c r="F379" s="212">
        <f t="shared" si="34"/>
        <v>0.5</v>
      </c>
      <c r="G379" s="212">
        <f>5</f>
        <v>5</v>
      </c>
      <c r="H379" s="212">
        <f>60</f>
        <v>60</v>
      </c>
      <c r="I379" s="212">
        <f t="shared" si="35"/>
        <v>0.9</v>
      </c>
      <c r="J379" s="212">
        <f>1</f>
        <v>1</v>
      </c>
      <c r="K379" s="212">
        <f t="shared" si="36"/>
        <v>4.1870000000000003</v>
      </c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  <c r="AA379" s="212"/>
      <c r="AB379" s="212"/>
      <c r="AC379" s="196"/>
      <c r="AD379" s="27"/>
      <c r="AE379" s="213"/>
      <c r="AF379" s="212">
        <f t="shared" si="37"/>
        <v>2.046265048815199E-2</v>
      </c>
      <c r="AG379" s="212"/>
      <c r="AH379" s="212"/>
      <c r="AI379" s="212"/>
      <c r="AJ379" s="212"/>
      <c r="AK379" s="212"/>
      <c r="AL379" s="212"/>
      <c r="AM379" s="212"/>
      <c r="AN379" s="212"/>
      <c r="AO379" s="212"/>
      <c r="AP379" s="196"/>
      <c r="AQ379" s="196"/>
      <c r="AR379" s="211"/>
      <c r="AS379" s="212"/>
      <c r="AT379" s="212"/>
      <c r="AU379" s="212"/>
      <c r="AW379" s="58"/>
      <c r="AX379" s="58"/>
      <c r="AY379" s="58"/>
      <c r="AZ379" s="58"/>
    </row>
    <row r="380" spans="1:52" s="185" customFormat="1" ht="15" customHeight="1" x14ac:dyDescent="0.25">
      <c r="A380" s="200"/>
      <c r="B380" s="211"/>
      <c r="C380" s="212">
        <f t="shared" si="32"/>
        <v>36.900000000000254</v>
      </c>
      <c r="D380" s="231">
        <f>15+[2]!STEPLOAD(5)</f>
        <v>20</v>
      </c>
      <c r="E380" s="212">
        <f t="shared" si="33"/>
        <v>45.591544431769876</v>
      </c>
      <c r="F380" s="212">
        <f t="shared" si="34"/>
        <v>0.5</v>
      </c>
      <c r="G380" s="212">
        <f>5</f>
        <v>5</v>
      </c>
      <c r="H380" s="212">
        <f>60</f>
        <v>60</v>
      </c>
      <c r="I380" s="212">
        <f t="shared" si="35"/>
        <v>0.9</v>
      </c>
      <c r="J380" s="212">
        <f>1</f>
        <v>1</v>
      </c>
      <c r="K380" s="212">
        <f t="shared" si="36"/>
        <v>4.1870000000000003</v>
      </c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212"/>
      <c r="Y380" s="212"/>
      <c r="Z380" s="212"/>
      <c r="AA380" s="212"/>
      <c r="AB380" s="212"/>
      <c r="AC380" s="196"/>
      <c r="AD380" s="27"/>
      <c r="AE380" s="213"/>
      <c r="AF380" s="212">
        <f t="shared" si="37"/>
        <v>2.0258023983270146E-2</v>
      </c>
      <c r="AG380" s="212"/>
      <c r="AH380" s="212"/>
      <c r="AI380" s="212"/>
      <c r="AJ380" s="212"/>
      <c r="AK380" s="212"/>
      <c r="AL380" s="212"/>
      <c r="AM380" s="212"/>
      <c r="AN380" s="212"/>
      <c r="AO380" s="212"/>
      <c r="AP380" s="196"/>
      <c r="AQ380" s="196"/>
      <c r="AR380" s="211"/>
      <c r="AS380" s="212"/>
      <c r="AT380" s="212"/>
      <c r="AU380" s="212"/>
      <c r="AW380" s="58"/>
      <c r="AX380" s="58"/>
      <c r="AY380" s="58"/>
      <c r="AZ380" s="58"/>
    </row>
    <row r="381" spans="1:52" s="185" customFormat="1" ht="15" customHeight="1" x14ac:dyDescent="0.25">
      <c r="A381" s="200"/>
      <c r="B381" s="211"/>
      <c r="C381" s="212">
        <f t="shared" si="32"/>
        <v>37.000000000000256</v>
      </c>
      <c r="D381" s="231">
        <f>15+[2]!STEPLOAD(5)</f>
        <v>20</v>
      </c>
      <c r="E381" s="212">
        <f t="shared" si="33"/>
        <v>45.593570234168205</v>
      </c>
      <c r="F381" s="212">
        <f t="shared" si="34"/>
        <v>0.5</v>
      </c>
      <c r="G381" s="212">
        <f>5</f>
        <v>5</v>
      </c>
      <c r="H381" s="212">
        <f>60</f>
        <v>60</v>
      </c>
      <c r="I381" s="212">
        <f t="shared" si="35"/>
        <v>0.9</v>
      </c>
      <c r="J381" s="212">
        <f>1</f>
        <v>1</v>
      </c>
      <c r="K381" s="212">
        <f t="shared" si="36"/>
        <v>4.1870000000000003</v>
      </c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212"/>
      <c r="Y381" s="212"/>
      <c r="Z381" s="212"/>
      <c r="AA381" s="212"/>
      <c r="AB381" s="212"/>
      <c r="AC381" s="196"/>
      <c r="AD381" s="27"/>
      <c r="AE381" s="213"/>
      <c r="AF381" s="212">
        <f t="shared" si="37"/>
        <v>2.0055443743437262E-2</v>
      </c>
      <c r="AG381" s="212"/>
      <c r="AH381" s="212"/>
      <c r="AI381" s="212"/>
      <c r="AJ381" s="212"/>
      <c r="AK381" s="212"/>
      <c r="AL381" s="212"/>
      <c r="AM381" s="212"/>
      <c r="AN381" s="212"/>
      <c r="AO381" s="212"/>
      <c r="AP381" s="196"/>
      <c r="AQ381" s="196"/>
      <c r="AR381" s="211"/>
      <c r="AS381" s="212"/>
      <c r="AT381" s="212"/>
      <c r="AU381" s="212"/>
      <c r="AW381" s="58"/>
      <c r="AX381" s="58"/>
      <c r="AY381" s="58"/>
      <c r="AZ381" s="58"/>
    </row>
    <row r="382" spans="1:52" s="185" customFormat="1" ht="15" customHeight="1" x14ac:dyDescent="0.25">
      <c r="A382" s="200"/>
      <c r="B382" s="211"/>
      <c r="C382" s="212">
        <f t="shared" si="32"/>
        <v>37.100000000000257</v>
      </c>
      <c r="D382" s="231">
        <f>15+[2]!STEPLOAD(5)</f>
        <v>20</v>
      </c>
      <c r="E382" s="212">
        <f t="shared" si="33"/>
        <v>45.595575778542546</v>
      </c>
      <c r="F382" s="212">
        <f t="shared" si="34"/>
        <v>0.5</v>
      </c>
      <c r="G382" s="212">
        <f>5</f>
        <v>5</v>
      </c>
      <c r="H382" s="212">
        <f>60</f>
        <v>60</v>
      </c>
      <c r="I382" s="212">
        <f t="shared" si="35"/>
        <v>0.9</v>
      </c>
      <c r="J382" s="212">
        <f>1</f>
        <v>1</v>
      </c>
      <c r="K382" s="212">
        <f t="shared" si="36"/>
        <v>4.1870000000000003</v>
      </c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  <c r="AA382" s="212"/>
      <c r="AB382" s="212"/>
      <c r="AC382" s="196"/>
      <c r="AD382" s="27"/>
      <c r="AE382" s="213"/>
      <c r="AF382" s="212">
        <f t="shared" si="37"/>
        <v>1.9854889306003098E-2</v>
      </c>
      <c r="AG382" s="212"/>
      <c r="AH382" s="212"/>
      <c r="AI382" s="212"/>
      <c r="AJ382" s="212"/>
      <c r="AK382" s="212"/>
      <c r="AL382" s="212"/>
      <c r="AM382" s="212"/>
      <c r="AN382" s="212"/>
      <c r="AO382" s="212"/>
      <c r="AP382" s="196"/>
      <c r="AQ382" s="196"/>
      <c r="AR382" s="211"/>
      <c r="AS382" s="212"/>
      <c r="AT382" s="212"/>
      <c r="AU382" s="212"/>
      <c r="AW382" s="58"/>
      <c r="AX382" s="58"/>
      <c r="AY382" s="58"/>
      <c r="AZ382" s="58"/>
    </row>
    <row r="383" spans="1:52" s="185" customFormat="1" ht="15" customHeight="1" x14ac:dyDescent="0.25">
      <c r="A383" s="200"/>
      <c r="B383" s="211"/>
      <c r="C383" s="212">
        <f t="shared" si="32"/>
        <v>37.200000000000259</v>
      </c>
      <c r="D383" s="231">
        <f>15+[2]!STEPLOAD(5)</f>
        <v>20</v>
      </c>
      <c r="E383" s="212">
        <f t="shared" si="33"/>
        <v>45.597561267473147</v>
      </c>
      <c r="F383" s="212">
        <f t="shared" si="34"/>
        <v>0.5</v>
      </c>
      <c r="G383" s="212">
        <f>5</f>
        <v>5</v>
      </c>
      <c r="H383" s="212">
        <f>60</f>
        <v>60</v>
      </c>
      <c r="I383" s="212">
        <f t="shared" si="35"/>
        <v>0.9</v>
      </c>
      <c r="J383" s="212">
        <f>1</f>
        <v>1</v>
      </c>
      <c r="K383" s="212">
        <f t="shared" si="36"/>
        <v>4.1870000000000003</v>
      </c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212"/>
      <c r="Y383" s="212"/>
      <c r="Z383" s="212"/>
      <c r="AA383" s="212"/>
      <c r="AB383" s="212"/>
      <c r="AC383" s="196"/>
      <c r="AD383" s="27"/>
      <c r="AE383" s="213"/>
      <c r="AF383" s="212">
        <f t="shared" si="37"/>
        <v>1.9656340412943063E-2</v>
      </c>
      <c r="AG383" s="212"/>
      <c r="AH383" s="212"/>
      <c r="AI383" s="212"/>
      <c r="AJ383" s="212"/>
      <c r="AK383" s="212"/>
      <c r="AL383" s="212"/>
      <c r="AM383" s="212"/>
      <c r="AN383" s="212"/>
      <c r="AO383" s="212"/>
      <c r="AP383" s="196"/>
      <c r="AQ383" s="196"/>
      <c r="AR383" s="211"/>
      <c r="AS383" s="212"/>
      <c r="AT383" s="212"/>
      <c r="AU383" s="212"/>
      <c r="AW383" s="58"/>
      <c r="AX383" s="58"/>
      <c r="AY383" s="58"/>
      <c r="AZ383" s="58"/>
    </row>
    <row r="384" spans="1:52" s="185" customFormat="1" ht="15" customHeight="1" x14ac:dyDescent="0.25">
      <c r="A384" s="200"/>
      <c r="B384" s="211"/>
      <c r="C384" s="212">
        <f t="shared" si="32"/>
        <v>37.30000000000026</v>
      </c>
      <c r="D384" s="231">
        <f>15+[2]!STEPLOAD(5)</f>
        <v>20</v>
      </c>
      <c r="E384" s="212">
        <f t="shared" si="33"/>
        <v>45.599526901514437</v>
      </c>
      <c r="F384" s="212">
        <f t="shared" si="34"/>
        <v>0.5</v>
      </c>
      <c r="G384" s="212">
        <f>5</f>
        <v>5</v>
      </c>
      <c r="H384" s="212">
        <f>60</f>
        <v>60</v>
      </c>
      <c r="I384" s="212">
        <f t="shared" si="35"/>
        <v>0.9</v>
      </c>
      <c r="J384" s="212">
        <f>1</f>
        <v>1</v>
      </c>
      <c r="K384" s="212">
        <f t="shared" si="36"/>
        <v>4.1870000000000003</v>
      </c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212"/>
      <c r="Y384" s="212"/>
      <c r="Z384" s="212"/>
      <c r="AA384" s="212"/>
      <c r="AB384" s="212"/>
      <c r="AC384" s="196"/>
      <c r="AD384" s="27"/>
      <c r="AE384" s="213"/>
      <c r="AF384" s="212">
        <f t="shared" si="37"/>
        <v>1.9459777008814072E-2</v>
      </c>
      <c r="AG384" s="212"/>
      <c r="AH384" s="212"/>
      <c r="AI384" s="212"/>
      <c r="AJ384" s="212"/>
      <c r="AK384" s="212"/>
      <c r="AL384" s="212"/>
      <c r="AM384" s="212"/>
      <c r="AN384" s="212"/>
      <c r="AO384" s="212"/>
      <c r="AP384" s="196"/>
      <c r="AQ384" s="196"/>
      <c r="AR384" s="211"/>
      <c r="AS384" s="212"/>
      <c r="AT384" s="212"/>
      <c r="AU384" s="212"/>
      <c r="AW384" s="58"/>
      <c r="AX384" s="58"/>
      <c r="AY384" s="58"/>
      <c r="AZ384" s="58"/>
    </row>
    <row r="385" spans="1:52" s="185" customFormat="1" ht="15" customHeight="1" x14ac:dyDescent="0.25">
      <c r="A385" s="200"/>
      <c r="B385" s="211"/>
      <c r="C385" s="212">
        <f t="shared" si="32"/>
        <v>37.400000000000261</v>
      </c>
      <c r="D385" s="231">
        <f>15+[2]!STEPLOAD(5)</f>
        <v>20</v>
      </c>
      <c r="E385" s="212">
        <f t="shared" si="33"/>
        <v>45.601472879215322</v>
      </c>
      <c r="F385" s="212">
        <f t="shared" si="34"/>
        <v>0.5</v>
      </c>
      <c r="G385" s="212">
        <f>5</f>
        <v>5</v>
      </c>
      <c r="H385" s="212">
        <f>60</f>
        <v>60</v>
      </c>
      <c r="I385" s="212">
        <f t="shared" si="35"/>
        <v>0.9</v>
      </c>
      <c r="J385" s="212">
        <f>1</f>
        <v>1</v>
      </c>
      <c r="K385" s="212">
        <f t="shared" si="36"/>
        <v>4.1870000000000003</v>
      </c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212"/>
      <c r="Y385" s="212"/>
      <c r="Z385" s="212"/>
      <c r="AA385" s="212"/>
      <c r="AB385" s="212"/>
      <c r="AC385" s="196"/>
      <c r="AD385" s="27"/>
      <c r="AE385" s="213"/>
      <c r="AF385" s="212">
        <f t="shared" si="37"/>
        <v>1.9265179238725505E-2</v>
      </c>
      <c r="AG385" s="212"/>
      <c r="AH385" s="212"/>
      <c r="AI385" s="212"/>
      <c r="AJ385" s="212"/>
      <c r="AK385" s="212"/>
      <c r="AL385" s="212"/>
      <c r="AM385" s="212"/>
      <c r="AN385" s="212"/>
      <c r="AO385" s="212"/>
      <c r="AP385" s="196"/>
      <c r="AQ385" s="196"/>
      <c r="AR385" s="211"/>
      <c r="AS385" s="212"/>
      <c r="AT385" s="212"/>
      <c r="AU385" s="212"/>
      <c r="AW385" s="58"/>
      <c r="AX385" s="58"/>
      <c r="AY385" s="58"/>
      <c r="AZ385" s="58"/>
    </row>
    <row r="386" spans="1:52" s="185" customFormat="1" ht="15" customHeight="1" x14ac:dyDescent="0.25">
      <c r="A386" s="200"/>
      <c r="B386" s="211"/>
      <c r="C386" s="212">
        <f t="shared" si="32"/>
        <v>37.500000000000263</v>
      </c>
      <c r="D386" s="231">
        <f>15+[2]!STEPLOAD(5)</f>
        <v>20</v>
      </c>
      <c r="E386" s="212">
        <f t="shared" si="33"/>
        <v>45.603399397139192</v>
      </c>
      <c r="F386" s="212">
        <f t="shared" si="34"/>
        <v>0.5</v>
      </c>
      <c r="G386" s="212">
        <f>5</f>
        <v>5</v>
      </c>
      <c r="H386" s="212">
        <f>60</f>
        <v>60</v>
      </c>
      <c r="I386" s="212">
        <f t="shared" si="35"/>
        <v>0.9</v>
      </c>
      <c r="J386" s="212">
        <f>1</f>
        <v>1</v>
      </c>
      <c r="K386" s="212">
        <f t="shared" si="36"/>
        <v>4.1870000000000003</v>
      </c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  <c r="AA386" s="212"/>
      <c r="AB386" s="212"/>
      <c r="AC386" s="196"/>
      <c r="AD386" s="27"/>
      <c r="AE386" s="213"/>
      <c r="AF386" s="212">
        <f t="shared" si="37"/>
        <v>1.9072527446338583E-2</v>
      </c>
      <c r="AG386" s="212"/>
      <c r="AH386" s="212"/>
      <c r="AI386" s="212"/>
      <c r="AJ386" s="212"/>
      <c r="AK386" s="212"/>
      <c r="AL386" s="212"/>
      <c r="AM386" s="212"/>
      <c r="AN386" s="212"/>
      <c r="AO386" s="212"/>
      <c r="AP386" s="196"/>
      <c r="AQ386" s="196"/>
      <c r="AR386" s="211"/>
      <c r="AS386" s="212"/>
      <c r="AT386" s="212"/>
      <c r="AU386" s="212"/>
      <c r="AW386" s="58"/>
      <c r="AX386" s="58"/>
      <c r="AY386" s="58"/>
      <c r="AZ386" s="58"/>
    </row>
    <row r="387" spans="1:52" s="185" customFormat="1" ht="15" customHeight="1" x14ac:dyDescent="0.25">
      <c r="A387" s="200"/>
      <c r="B387" s="211"/>
      <c r="C387" s="212">
        <f t="shared" si="32"/>
        <v>37.600000000000264</v>
      </c>
      <c r="D387" s="231">
        <f>15+[2]!STEPLOAD(5)</f>
        <v>20</v>
      </c>
      <c r="E387" s="212">
        <f t="shared" si="33"/>
        <v>45.605306649883829</v>
      </c>
      <c r="F387" s="212">
        <f t="shared" si="34"/>
        <v>0.5</v>
      </c>
      <c r="G387" s="212">
        <f>5</f>
        <v>5</v>
      </c>
      <c r="H387" s="212">
        <f>60</f>
        <v>60</v>
      </c>
      <c r="I387" s="212">
        <f t="shared" si="35"/>
        <v>0.9</v>
      </c>
      <c r="J387" s="212">
        <f>1</f>
        <v>1</v>
      </c>
      <c r="K387" s="212">
        <f t="shared" si="36"/>
        <v>4.1870000000000003</v>
      </c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  <c r="AA387" s="212"/>
      <c r="AB387" s="212"/>
      <c r="AC387" s="196"/>
      <c r="AD387" s="27"/>
      <c r="AE387" s="213"/>
      <c r="AF387" s="212">
        <f t="shared" si="37"/>
        <v>1.8881802171875073E-2</v>
      </c>
      <c r="AG387" s="212"/>
      <c r="AH387" s="212"/>
      <c r="AI387" s="212"/>
      <c r="AJ387" s="212"/>
      <c r="AK387" s="212"/>
      <c r="AL387" s="212"/>
      <c r="AM387" s="212"/>
      <c r="AN387" s="212"/>
      <c r="AO387" s="212"/>
      <c r="AP387" s="196"/>
      <c r="AQ387" s="196"/>
      <c r="AR387" s="211"/>
      <c r="AS387" s="212"/>
      <c r="AT387" s="212"/>
      <c r="AU387" s="212"/>
      <c r="AW387" s="58"/>
      <c r="AX387" s="58"/>
      <c r="AY387" s="58"/>
      <c r="AZ387" s="58"/>
    </row>
    <row r="388" spans="1:52" s="185" customFormat="1" ht="15" customHeight="1" x14ac:dyDescent="0.25">
      <c r="A388" s="200"/>
      <c r="B388" s="211"/>
      <c r="C388" s="212">
        <f t="shared" si="32"/>
        <v>37.700000000000266</v>
      </c>
      <c r="D388" s="231">
        <f>15+[2]!STEPLOAD(5)</f>
        <v>20</v>
      </c>
      <c r="E388" s="212">
        <f t="shared" si="33"/>
        <v>45.607194830101015</v>
      </c>
      <c r="F388" s="212">
        <f t="shared" si="34"/>
        <v>0.5</v>
      </c>
      <c r="G388" s="212">
        <f>5</f>
        <v>5</v>
      </c>
      <c r="H388" s="212">
        <f>60</f>
        <v>60</v>
      </c>
      <c r="I388" s="212">
        <f t="shared" si="35"/>
        <v>0.9</v>
      </c>
      <c r="J388" s="212">
        <f>1</f>
        <v>1</v>
      </c>
      <c r="K388" s="212">
        <f t="shared" si="36"/>
        <v>4.1870000000000003</v>
      </c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212"/>
      <c r="Y388" s="212"/>
      <c r="Z388" s="212"/>
      <c r="AA388" s="212"/>
      <c r="AB388" s="212"/>
      <c r="AC388" s="196"/>
      <c r="AD388" s="27"/>
      <c r="AE388" s="213"/>
      <c r="AF388" s="212">
        <f t="shared" si="37"/>
        <v>1.8692984150156189E-2</v>
      </c>
      <c r="AG388" s="212"/>
      <c r="AH388" s="212"/>
      <c r="AI388" s="212"/>
      <c r="AJ388" s="212"/>
      <c r="AK388" s="212"/>
      <c r="AL388" s="212"/>
      <c r="AM388" s="212"/>
      <c r="AN388" s="212"/>
      <c r="AO388" s="212"/>
      <c r="AP388" s="196"/>
      <c r="AQ388" s="196"/>
      <c r="AR388" s="211"/>
      <c r="AS388" s="212"/>
      <c r="AT388" s="212"/>
      <c r="AU388" s="212"/>
      <c r="AW388" s="58"/>
      <c r="AX388" s="58"/>
      <c r="AY388" s="58"/>
      <c r="AZ388" s="58"/>
    </row>
    <row r="389" spans="1:52" s="185" customFormat="1" ht="15" customHeight="1" x14ac:dyDescent="0.25">
      <c r="A389" s="200"/>
      <c r="B389" s="211"/>
      <c r="C389" s="212">
        <f t="shared" si="32"/>
        <v>37.800000000000267</v>
      </c>
      <c r="D389" s="231">
        <f>15+[2]!STEPLOAD(5)</f>
        <v>20</v>
      </c>
      <c r="E389" s="212">
        <f t="shared" si="33"/>
        <v>45.609064128516032</v>
      </c>
      <c r="F389" s="212">
        <f t="shared" si="34"/>
        <v>0.5</v>
      </c>
      <c r="G389" s="212">
        <f>5</f>
        <v>5</v>
      </c>
      <c r="H389" s="212">
        <f>60</f>
        <v>60</v>
      </c>
      <c r="I389" s="212">
        <f t="shared" si="35"/>
        <v>0.9</v>
      </c>
      <c r="J389" s="212">
        <f>1</f>
        <v>1</v>
      </c>
      <c r="K389" s="212">
        <f t="shared" si="36"/>
        <v>4.1870000000000003</v>
      </c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212"/>
      <c r="Y389" s="212"/>
      <c r="Z389" s="212"/>
      <c r="AA389" s="212"/>
      <c r="AB389" s="212"/>
      <c r="AC389" s="196"/>
      <c r="AD389" s="27"/>
      <c r="AE389" s="213"/>
      <c r="AF389" s="212">
        <f t="shared" si="37"/>
        <v>1.8506054308654818E-2</v>
      </c>
      <c r="AG389" s="212"/>
      <c r="AH389" s="212"/>
      <c r="AI389" s="212"/>
      <c r="AJ389" s="212"/>
      <c r="AK389" s="212"/>
      <c r="AL389" s="212"/>
      <c r="AM389" s="212"/>
      <c r="AN389" s="212"/>
      <c r="AO389" s="212"/>
      <c r="AP389" s="196"/>
      <c r="AQ389" s="196"/>
      <c r="AR389" s="211"/>
      <c r="AS389" s="212"/>
      <c r="AT389" s="212"/>
      <c r="AU389" s="212"/>
      <c r="AW389" s="58"/>
      <c r="AX389" s="58"/>
      <c r="AY389" s="58"/>
      <c r="AZ389" s="58"/>
    </row>
    <row r="390" spans="1:52" s="185" customFormat="1" ht="15" customHeight="1" x14ac:dyDescent="0.25">
      <c r="A390" s="200"/>
      <c r="B390" s="211"/>
      <c r="C390" s="212">
        <f t="shared" si="32"/>
        <v>37.900000000000269</v>
      </c>
      <c r="D390" s="231">
        <f>15+[2]!STEPLOAD(5)</f>
        <v>20</v>
      </c>
      <c r="E390" s="212">
        <f t="shared" si="33"/>
        <v>45.610914733946899</v>
      </c>
      <c r="F390" s="212">
        <f t="shared" si="34"/>
        <v>0.5</v>
      </c>
      <c r="G390" s="212">
        <f>5</f>
        <v>5</v>
      </c>
      <c r="H390" s="212">
        <f>60</f>
        <v>60</v>
      </c>
      <c r="I390" s="212">
        <f t="shared" si="35"/>
        <v>0.9</v>
      </c>
      <c r="J390" s="212">
        <f>1</f>
        <v>1</v>
      </c>
      <c r="K390" s="212">
        <f t="shared" si="36"/>
        <v>4.1870000000000003</v>
      </c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212"/>
      <c r="Y390" s="212"/>
      <c r="Z390" s="212"/>
      <c r="AA390" s="212"/>
      <c r="AB390" s="212"/>
      <c r="AC390" s="196"/>
      <c r="AD390" s="27"/>
      <c r="AE390" s="213"/>
      <c r="AF390" s="212">
        <f t="shared" si="37"/>
        <v>1.8320993765568172E-2</v>
      </c>
      <c r="AG390" s="212"/>
      <c r="AH390" s="212"/>
      <c r="AI390" s="212"/>
      <c r="AJ390" s="212"/>
      <c r="AK390" s="212"/>
      <c r="AL390" s="212"/>
      <c r="AM390" s="212"/>
      <c r="AN390" s="212"/>
      <c r="AO390" s="212"/>
      <c r="AP390" s="196"/>
      <c r="AQ390" s="196"/>
      <c r="AR390" s="211"/>
      <c r="AS390" s="212"/>
      <c r="AT390" s="212"/>
      <c r="AU390" s="212"/>
      <c r="AW390" s="58"/>
      <c r="AX390" s="58"/>
      <c r="AY390" s="58"/>
      <c r="AZ390" s="58"/>
    </row>
    <row r="391" spans="1:52" s="185" customFormat="1" ht="15" customHeight="1" x14ac:dyDescent="0.25">
      <c r="A391" s="200"/>
      <c r="B391" s="211"/>
      <c r="C391" s="212">
        <f t="shared" si="32"/>
        <v>38.00000000000027</v>
      </c>
      <c r="D391" s="231">
        <f>15+[2]!STEPLOAD(5)</f>
        <v>20</v>
      </c>
      <c r="E391" s="212">
        <f t="shared" si="33"/>
        <v>45.612746833323456</v>
      </c>
      <c r="F391" s="212">
        <f t="shared" si="34"/>
        <v>0.5</v>
      </c>
      <c r="G391" s="212">
        <f>5</f>
        <v>5</v>
      </c>
      <c r="H391" s="212">
        <f>60</f>
        <v>60</v>
      </c>
      <c r="I391" s="212">
        <f t="shared" si="35"/>
        <v>0.9</v>
      </c>
      <c r="J391" s="212">
        <f>1</f>
        <v>1</v>
      </c>
      <c r="K391" s="212">
        <f t="shared" si="36"/>
        <v>4.1870000000000003</v>
      </c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212"/>
      <c r="Y391" s="212"/>
      <c r="Z391" s="212"/>
      <c r="AA391" s="212"/>
      <c r="AB391" s="212"/>
      <c r="AC391" s="196"/>
      <c r="AD391" s="27"/>
      <c r="AE391" s="213"/>
      <c r="AF391" s="212">
        <f t="shared" si="37"/>
        <v>1.8137783827912202E-2</v>
      </c>
      <c r="AG391" s="212"/>
      <c r="AH391" s="212"/>
      <c r="AI391" s="212"/>
      <c r="AJ391" s="212"/>
      <c r="AK391" s="212"/>
      <c r="AL391" s="212"/>
      <c r="AM391" s="212"/>
      <c r="AN391" s="212"/>
      <c r="AO391" s="212"/>
      <c r="AP391" s="196"/>
      <c r="AQ391" s="196"/>
      <c r="AR391" s="211"/>
      <c r="AS391" s="212"/>
      <c r="AT391" s="212"/>
      <c r="AU391" s="212"/>
      <c r="AW391" s="58"/>
      <c r="AX391" s="58"/>
      <c r="AY391" s="58"/>
      <c r="AZ391" s="58"/>
    </row>
    <row r="392" spans="1:52" s="185" customFormat="1" ht="15" customHeight="1" x14ac:dyDescent="0.25">
      <c r="A392" s="200"/>
      <c r="B392" s="211"/>
      <c r="C392" s="212">
        <f t="shared" si="32"/>
        <v>38.100000000000271</v>
      </c>
      <c r="D392" s="231">
        <f>15+[2]!STEPLOAD(5)</f>
        <v>20</v>
      </c>
      <c r="E392" s="212">
        <f t="shared" si="33"/>
        <v>45.614560611706246</v>
      </c>
      <c r="F392" s="212">
        <f t="shared" si="34"/>
        <v>0.5</v>
      </c>
      <c r="G392" s="212">
        <f>5</f>
        <v>5</v>
      </c>
      <c r="H392" s="212">
        <f>60</f>
        <v>60</v>
      </c>
      <c r="I392" s="212">
        <f t="shared" si="35"/>
        <v>0.9</v>
      </c>
      <c r="J392" s="212">
        <f>1</f>
        <v>1</v>
      </c>
      <c r="K392" s="212">
        <f t="shared" si="36"/>
        <v>4.1870000000000003</v>
      </c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212"/>
      <c r="Y392" s="212"/>
      <c r="Z392" s="212"/>
      <c r="AA392" s="212"/>
      <c r="AB392" s="212"/>
      <c r="AC392" s="196"/>
      <c r="AD392" s="27"/>
      <c r="AE392" s="213"/>
      <c r="AF392" s="212">
        <f t="shared" si="37"/>
        <v>1.7956405989633328E-2</v>
      </c>
      <c r="AG392" s="212"/>
      <c r="AH392" s="212"/>
      <c r="AI392" s="212"/>
      <c r="AJ392" s="212"/>
      <c r="AK392" s="212"/>
      <c r="AL392" s="212"/>
      <c r="AM392" s="212"/>
      <c r="AN392" s="212"/>
      <c r="AO392" s="212"/>
      <c r="AP392" s="196"/>
      <c r="AQ392" s="196"/>
      <c r="AR392" s="211"/>
      <c r="AS392" s="212"/>
      <c r="AT392" s="212"/>
      <c r="AU392" s="212"/>
      <c r="AW392" s="58"/>
      <c r="AX392" s="58"/>
      <c r="AY392" s="58"/>
      <c r="AZ392" s="58"/>
    </row>
    <row r="393" spans="1:52" s="185" customFormat="1" ht="15" customHeight="1" x14ac:dyDescent="0.25">
      <c r="A393" s="200"/>
      <c r="B393" s="211"/>
      <c r="C393" s="212">
        <f t="shared" si="32"/>
        <v>38.200000000000273</v>
      </c>
      <c r="D393" s="231">
        <f>15+[2]!STEPLOAD(5)</f>
        <v>20</v>
      </c>
      <c r="E393" s="212">
        <f t="shared" si="33"/>
        <v>45.616356252305209</v>
      </c>
      <c r="F393" s="212">
        <f t="shared" si="34"/>
        <v>0.5</v>
      </c>
      <c r="G393" s="212">
        <f>5</f>
        <v>5</v>
      </c>
      <c r="H393" s="212">
        <f>60</f>
        <v>60</v>
      </c>
      <c r="I393" s="212">
        <f t="shared" si="35"/>
        <v>0.9</v>
      </c>
      <c r="J393" s="212">
        <f>1</f>
        <v>1</v>
      </c>
      <c r="K393" s="212">
        <f t="shared" si="36"/>
        <v>4.1870000000000003</v>
      </c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212"/>
      <c r="Y393" s="212"/>
      <c r="Z393" s="212"/>
      <c r="AA393" s="212"/>
      <c r="AB393" s="212"/>
      <c r="AC393" s="196"/>
      <c r="AD393" s="27"/>
      <c r="AE393" s="213"/>
      <c r="AF393" s="212">
        <f t="shared" si="37"/>
        <v>1.7776841929737053E-2</v>
      </c>
      <c r="AG393" s="212"/>
      <c r="AH393" s="212"/>
      <c r="AI393" s="212"/>
      <c r="AJ393" s="212"/>
      <c r="AK393" s="212"/>
      <c r="AL393" s="212"/>
      <c r="AM393" s="212"/>
      <c r="AN393" s="212"/>
      <c r="AO393" s="212"/>
      <c r="AP393" s="196"/>
      <c r="AQ393" s="196"/>
      <c r="AR393" s="211"/>
      <c r="AS393" s="212"/>
      <c r="AT393" s="212"/>
      <c r="AU393" s="212"/>
      <c r="AW393" s="58"/>
      <c r="AX393" s="58"/>
      <c r="AY393" s="58"/>
      <c r="AZ393" s="58"/>
    </row>
    <row r="394" spans="1:52" s="185" customFormat="1" ht="15" customHeight="1" x14ac:dyDescent="0.25">
      <c r="A394" s="200"/>
      <c r="B394" s="211"/>
      <c r="C394" s="212">
        <f t="shared" si="32"/>
        <v>38.300000000000274</v>
      </c>
      <c r="D394" s="231">
        <f>15+[2]!STEPLOAD(5)</f>
        <v>20</v>
      </c>
      <c r="E394" s="212">
        <f t="shared" si="33"/>
        <v>45.618133936498182</v>
      </c>
      <c r="F394" s="212">
        <f t="shared" si="34"/>
        <v>0.5</v>
      </c>
      <c r="G394" s="212">
        <f>5</f>
        <v>5</v>
      </c>
      <c r="H394" s="212">
        <f>60</f>
        <v>60</v>
      </c>
      <c r="I394" s="212">
        <f t="shared" si="35"/>
        <v>0.9</v>
      </c>
      <c r="J394" s="212">
        <f>1</f>
        <v>1</v>
      </c>
      <c r="K394" s="212">
        <f t="shared" si="36"/>
        <v>4.1870000000000003</v>
      </c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  <c r="AA394" s="212"/>
      <c r="AB394" s="212"/>
      <c r="AC394" s="196"/>
      <c r="AD394" s="27"/>
      <c r="AE394" s="213"/>
      <c r="AF394" s="212">
        <f t="shared" si="37"/>
        <v>1.7599073510439656E-2</v>
      </c>
      <c r="AG394" s="212"/>
      <c r="AH394" s="212"/>
      <c r="AI394" s="212"/>
      <c r="AJ394" s="212"/>
      <c r="AK394" s="212"/>
      <c r="AL394" s="212"/>
      <c r="AM394" s="212"/>
      <c r="AN394" s="212"/>
      <c r="AO394" s="212"/>
      <c r="AP394" s="196"/>
      <c r="AQ394" s="196"/>
      <c r="AR394" s="211"/>
      <c r="AS394" s="212"/>
      <c r="AT394" s="212"/>
      <c r="AU394" s="212"/>
      <c r="AW394" s="58"/>
      <c r="AX394" s="58"/>
      <c r="AY394" s="58"/>
      <c r="AZ394" s="58"/>
    </row>
    <row r="395" spans="1:52" s="185" customFormat="1" ht="15" customHeight="1" x14ac:dyDescent="0.25">
      <c r="A395" s="200"/>
      <c r="B395" s="211"/>
      <c r="C395" s="212">
        <f t="shared" si="32"/>
        <v>38.400000000000276</v>
      </c>
      <c r="D395" s="231">
        <f>15+[2]!STEPLOAD(5)</f>
        <v>20</v>
      </c>
      <c r="E395" s="212">
        <f t="shared" si="33"/>
        <v>45.619893843849226</v>
      </c>
      <c r="F395" s="212">
        <f t="shared" si="34"/>
        <v>0.5</v>
      </c>
      <c r="G395" s="212">
        <f>5</f>
        <v>5</v>
      </c>
      <c r="H395" s="212">
        <f>60</f>
        <v>60</v>
      </c>
      <c r="I395" s="212">
        <f t="shared" si="35"/>
        <v>0.9</v>
      </c>
      <c r="J395" s="212">
        <f>1</f>
        <v>1</v>
      </c>
      <c r="K395" s="212">
        <f t="shared" si="36"/>
        <v>4.1870000000000003</v>
      </c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212"/>
      <c r="Y395" s="212"/>
      <c r="Z395" s="212"/>
      <c r="AA395" s="212"/>
      <c r="AB395" s="212"/>
      <c r="AC395" s="196"/>
      <c r="AD395" s="27"/>
      <c r="AE395" s="213"/>
      <c r="AF395" s="212">
        <f t="shared" si="37"/>
        <v>1.7423082775335441E-2</v>
      </c>
      <c r="AG395" s="212"/>
      <c r="AH395" s="212"/>
      <c r="AI395" s="212"/>
      <c r="AJ395" s="212"/>
      <c r="AK395" s="212"/>
      <c r="AL395" s="212"/>
      <c r="AM395" s="212"/>
      <c r="AN395" s="212"/>
      <c r="AO395" s="212"/>
      <c r="AP395" s="196"/>
      <c r="AQ395" s="196"/>
      <c r="AR395" s="211"/>
      <c r="AS395" s="212"/>
      <c r="AT395" s="212"/>
      <c r="AU395" s="212"/>
      <c r="AW395" s="58"/>
      <c r="AX395" s="58"/>
      <c r="AY395" s="58"/>
      <c r="AZ395" s="58"/>
    </row>
    <row r="396" spans="1:52" s="185" customFormat="1" ht="15" customHeight="1" x14ac:dyDescent="0.25">
      <c r="A396" s="200"/>
      <c r="B396" s="211"/>
      <c r="C396" s="212">
        <f t="shared" ref="C396:C459" si="38">C395+IntegrationStep</f>
        <v>38.500000000000277</v>
      </c>
      <c r="D396" s="231">
        <f>15+[2]!STEPLOAD(5)</f>
        <v>20</v>
      </c>
      <c r="E396" s="212">
        <f t="shared" si="33"/>
        <v>45.621636152126761</v>
      </c>
      <c r="F396" s="212">
        <f t="shared" si="34"/>
        <v>0.5</v>
      </c>
      <c r="G396" s="212">
        <f>5</f>
        <v>5</v>
      </c>
      <c r="H396" s="212">
        <f>60</f>
        <v>60</v>
      </c>
      <c r="I396" s="212">
        <f t="shared" si="35"/>
        <v>0.9</v>
      </c>
      <c r="J396" s="212">
        <f>1</f>
        <v>1</v>
      </c>
      <c r="K396" s="212">
        <f t="shared" si="36"/>
        <v>4.1870000000000003</v>
      </c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  <c r="AA396" s="212"/>
      <c r="AB396" s="212"/>
      <c r="AC396" s="196"/>
      <c r="AD396" s="27"/>
      <c r="AE396" s="213"/>
      <c r="AF396" s="212">
        <f t="shared" si="37"/>
        <v>1.7248851947581745E-2</v>
      </c>
      <c r="AG396" s="212"/>
      <c r="AH396" s="212"/>
      <c r="AI396" s="212"/>
      <c r="AJ396" s="212"/>
      <c r="AK396" s="212"/>
      <c r="AL396" s="212"/>
      <c r="AM396" s="212"/>
      <c r="AN396" s="212"/>
      <c r="AO396" s="212"/>
      <c r="AP396" s="196"/>
      <c r="AQ396" s="196"/>
      <c r="AR396" s="211"/>
      <c r="AS396" s="212"/>
      <c r="AT396" s="212"/>
      <c r="AU396" s="212"/>
      <c r="AW396" s="58"/>
      <c r="AX396" s="58"/>
      <c r="AY396" s="58"/>
      <c r="AZ396" s="58"/>
    </row>
    <row r="397" spans="1:52" s="185" customFormat="1" ht="15" customHeight="1" x14ac:dyDescent="0.25">
      <c r="A397" s="200"/>
      <c r="B397" s="211"/>
      <c r="C397" s="212">
        <f t="shared" si="38"/>
        <v>38.600000000000279</v>
      </c>
      <c r="D397" s="231">
        <f>15+[2]!STEPLOAD(5)</f>
        <v>20</v>
      </c>
      <c r="E397" s="212">
        <f t="shared" ref="E397:E460" si="39">E396+(C397-C396)*AF396</f>
        <v>45.623361037321523</v>
      </c>
      <c r="F397" s="212">
        <f t="shared" ref="F397:F460" si="40">0.5</f>
        <v>0.5</v>
      </c>
      <c r="G397" s="212">
        <f>5</f>
        <v>5</v>
      </c>
      <c r="H397" s="212">
        <f>60</f>
        <v>60</v>
      </c>
      <c r="I397" s="212">
        <f t="shared" ref="I397:I460" si="41">0.9</f>
        <v>0.9</v>
      </c>
      <c r="J397" s="212">
        <f>1</f>
        <v>1</v>
      </c>
      <c r="K397" s="212">
        <f t="shared" ref="K397:K460" si="42">4.187</f>
        <v>4.1870000000000003</v>
      </c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212"/>
      <c r="Y397" s="212"/>
      <c r="Z397" s="212"/>
      <c r="AA397" s="212"/>
      <c r="AB397" s="212"/>
      <c r="AC397" s="196"/>
      <c r="AD397" s="27"/>
      <c r="AE397" s="213"/>
      <c r="AF397" s="212">
        <f t="shared" ref="AF397:AF460" si="43">F397/G397*(D397-E397)+H397*I397/G397/J397/K397</f>
        <v>1.7076363428105701E-2</v>
      </c>
      <c r="AG397" s="212"/>
      <c r="AH397" s="212"/>
      <c r="AI397" s="212"/>
      <c r="AJ397" s="212"/>
      <c r="AK397" s="212"/>
      <c r="AL397" s="212"/>
      <c r="AM397" s="212"/>
      <c r="AN397" s="212"/>
      <c r="AO397" s="212"/>
      <c r="AP397" s="196"/>
      <c r="AQ397" s="196"/>
      <c r="AR397" s="211"/>
      <c r="AS397" s="212"/>
      <c r="AT397" s="212"/>
      <c r="AU397" s="212"/>
      <c r="AW397" s="58"/>
      <c r="AX397" s="58"/>
      <c r="AY397" s="58"/>
      <c r="AZ397" s="58"/>
    </row>
    <row r="398" spans="1:52" s="185" customFormat="1" ht="15" customHeight="1" x14ac:dyDescent="0.25">
      <c r="A398" s="200"/>
      <c r="B398" s="211"/>
      <c r="C398" s="212">
        <f t="shared" si="38"/>
        <v>38.70000000000028</v>
      </c>
      <c r="D398" s="231">
        <f>15+[2]!STEPLOAD(5)</f>
        <v>20</v>
      </c>
      <c r="E398" s="212">
        <f t="shared" si="39"/>
        <v>45.62506867366433</v>
      </c>
      <c r="F398" s="212">
        <f t="shared" si="40"/>
        <v>0.5</v>
      </c>
      <c r="G398" s="212">
        <f>5</f>
        <v>5</v>
      </c>
      <c r="H398" s="212">
        <f>60</f>
        <v>60</v>
      </c>
      <c r="I398" s="212">
        <f t="shared" si="41"/>
        <v>0.9</v>
      </c>
      <c r="J398" s="212">
        <f>1</f>
        <v>1</v>
      </c>
      <c r="K398" s="212">
        <f t="shared" si="42"/>
        <v>4.1870000000000003</v>
      </c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212"/>
      <c r="Y398" s="212"/>
      <c r="Z398" s="212"/>
      <c r="AA398" s="212"/>
      <c r="AB398" s="212"/>
      <c r="AC398" s="196"/>
      <c r="AD398" s="27"/>
      <c r="AE398" s="213"/>
      <c r="AF398" s="212">
        <f t="shared" si="43"/>
        <v>1.6905599793824777E-2</v>
      </c>
      <c r="AG398" s="212"/>
      <c r="AH398" s="212"/>
      <c r="AI398" s="212"/>
      <c r="AJ398" s="212"/>
      <c r="AK398" s="212"/>
      <c r="AL398" s="212"/>
      <c r="AM398" s="212"/>
      <c r="AN398" s="212"/>
      <c r="AO398" s="212"/>
      <c r="AP398" s="196"/>
      <c r="AQ398" s="196"/>
      <c r="AR398" s="211"/>
      <c r="AS398" s="212"/>
      <c r="AT398" s="212"/>
      <c r="AU398" s="212"/>
      <c r="AW398" s="58"/>
      <c r="AX398" s="58"/>
      <c r="AY398" s="58"/>
      <c r="AZ398" s="58"/>
    </row>
    <row r="399" spans="1:52" s="185" customFormat="1" ht="15" customHeight="1" x14ac:dyDescent="0.25">
      <c r="A399" s="200"/>
      <c r="B399" s="211"/>
      <c r="C399" s="212">
        <f t="shared" si="38"/>
        <v>38.800000000000281</v>
      </c>
      <c r="D399" s="231">
        <f>15+[2]!STEPLOAD(5)</f>
        <v>20</v>
      </c>
      <c r="E399" s="212">
        <f t="shared" si="39"/>
        <v>45.62675923364371</v>
      </c>
      <c r="F399" s="212">
        <f t="shared" si="40"/>
        <v>0.5</v>
      </c>
      <c r="G399" s="212">
        <f>5</f>
        <v>5</v>
      </c>
      <c r="H399" s="212">
        <f>60</f>
        <v>60</v>
      </c>
      <c r="I399" s="212">
        <f t="shared" si="41"/>
        <v>0.9</v>
      </c>
      <c r="J399" s="212">
        <f>1</f>
        <v>1</v>
      </c>
      <c r="K399" s="212">
        <f t="shared" si="42"/>
        <v>4.1870000000000003</v>
      </c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  <c r="AA399" s="212"/>
      <c r="AB399" s="212"/>
      <c r="AC399" s="196"/>
      <c r="AD399" s="27"/>
      <c r="AE399" s="213"/>
      <c r="AF399" s="212">
        <f t="shared" si="43"/>
        <v>1.6736543795886849E-2</v>
      </c>
      <c r="AG399" s="212"/>
      <c r="AH399" s="212"/>
      <c r="AI399" s="212"/>
      <c r="AJ399" s="212"/>
      <c r="AK399" s="212"/>
      <c r="AL399" s="212"/>
      <c r="AM399" s="212"/>
      <c r="AN399" s="212"/>
      <c r="AO399" s="212"/>
      <c r="AP399" s="196"/>
      <c r="AQ399" s="196"/>
      <c r="AR399" s="211"/>
      <c r="AS399" s="212"/>
      <c r="AT399" s="212"/>
      <c r="AU399" s="212"/>
      <c r="AW399" s="58"/>
      <c r="AX399" s="58"/>
      <c r="AY399" s="58"/>
      <c r="AZ399" s="58"/>
    </row>
    <row r="400" spans="1:52" s="185" customFormat="1" ht="15" customHeight="1" x14ac:dyDescent="0.25">
      <c r="A400" s="200"/>
      <c r="B400" s="211"/>
      <c r="C400" s="212">
        <f t="shared" si="38"/>
        <v>38.900000000000283</v>
      </c>
      <c r="D400" s="231">
        <f>15+[2]!STEPLOAD(5)</f>
        <v>20</v>
      </c>
      <c r="E400" s="212">
        <f t="shared" si="39"/>
        <v>45.628432888023298</v>
      </c>
      <c r="F400" s="212">
        <f t="shared" si="40"/>
        <v>0.5</v>
      </c>
      <c r="G400" s="212">
        <f>5</f>
        <v>5</v>
      </c>
      <c r="H400" s="212">
        <f>60</f>
        <v>60</v>
      </c>
      <c r="I400" s="212">
        <f t="shared" si="41"/>
        <v>0.9</v>
      </c>
      <c r="J400" s="212">
        <f>1</f>
        <v>1</v>
      </c>
      <c r="K400" s="212">
        <f t="shared" si="42"/>
        <v>4.1870000000000003</v>
      </c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212"/>
      <c r="Y400" s="212"/>
      <c r="Z400" s="212"/>
      <c r="AA400" s="212"/>
      <c r="AB400" s="212"/>
      <c r="AC400" s="196"/>
      <c r="AD400" s="27"/>
      <c r="AE400" s="213"/>
      <c r="AF400" s="212">
        <f t="shared" si="43"/>
        <v>1.6569178357928038E-2</v>
      </c>
      <c r="AG400" s="212"/>
      <c r="AH400" s="212"/>
      <c r="AI400" s="212"/>
      <c r="AJ400" s="212"/>
      <c r="AK400" s="212"/>
      <c r="AL400" s="212"/>
      <c r="AM400" s="212"/>
      <c r="AN400" s="212"/>
      <c r="AO400" s="212"/>
      <c r="AP400" s="196"/>
      <c r="AQ400" s="196"/>
      <c r="AR400" s="211"/>
      <c r="AS400" s="212"/>
      <c r="AT400" s="212"/>
      <c r="AU400" s="212"/>
      <c r="AW400" s="58"/>
      <c r="AX400" s="58"/>
      <c r="AY400" s="58"/>
      <c r="AZ400" s="58"/>
    </row>
    <row r="401" spans="1:52" s="185" customFormat="1" ht="15" customHeight="1" x14ac:dyDescent="0.25">
      <c r="A401" s="200"/>
      <c r="B401" s="211"/>
      <c r="C401" s="212">
        <f t="shared" si="38"/>
        <v>39.000000000000284</v>
      </c>
      <c r="D401" s="231">
        <f>15+[2]!STEPLOAD(5)</f>
        <v>20</v>
      </c>
      <c r="E401" s="212">
        <f t="shared" si="39"/>
        <v>45.630089805859093</v>
      </c>
      <c r="F401" s="212">
        <f t="shared" si="40"/>
        <v>0.5</v>
      </c>
      <c r="G401" s="212">
        <f>5</f>
        <v>5</v>
      </c>
      <c r="H401" s="212">
        <f>60</f>
        <v>60</v>
      </c>
      <c r="I401" s="212">
        <f t="shared" si="41"/>
        <v>0.9</v>
      </c>
      <c r="J401" s="212">
        <f>1</f>
        <v>1</v>
      </c>
      <c r="K401" s="212">
        <f t="shared" si="42"/>
        <v>4.1870000000000003</v>
      </c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212"/>
      <c r="Y401" s="212"/>
      <c r="Z401" s="212"/>
      <c r="AA401" s="212"/>
      <c r="AB401" s="212"/>
      <c r="AC401" s="196"/>
      <c r="AD401" s="27"/>
      <c r="AE401" s="213"/>
      <c r="AF401" s="212">
        <f t="shared" si="43"/>
        <v>1.6403486574348758E-2</v>
      </c>
      <c r="AG401" s="212"/>
      <c r="AH401" s="212"/>
      <c r="AI401" s="212"/>
      <c r="AJ401" s="212"/>
      <c r="AK401" s="212"/>
      <c r="AL401" s="212"/>
      <c r="AM401" s="212"/>
      <c r="AN401" s="212"/>
      <c r="AO401" s="212"/>
      <c r="AP401" s="196"/>
      <c r="AQ401" s="196"/>
      <c r="AR401" s="211"/>
      <c r="AS401" s="212"/>
      <c r="AT401" s="212"/>
      <c r="AU401" s="212"/>
      <c r="AW401" s="58"/>
      <c r="AX401" s="58"/>
      <c r="AY401" s="58"/>
      <c r="AZ401" s="58"/>
    </row>
    <row r="402" spans="1:52" s="185" customFormat="1" ht="15" customHeight="1" x14ac:dyDescent="0.25">
      <c r="A402" s="200"/>
      <c r="B402" s="211"/>
      <c r="C402" s="212">
        <f t="shared" si="38"/>
        <v>39.100000000000286</v>
      </c>
      <c r="D402" s="231">
        <f>15+[2]!STEPLOAD(5)</f>
        <v>20</v>
      </c>
      <c r="E402" s="212">
        <f t="shared" si="39"/>
        <v>45.631730154516525</v>
      </c>
      <c r="F402" s="212">
        <f t="shared" si="40"/>
        <v>0.5</v>
      </c>
      <c r="G402" s="212">
        <f>5</f>
        <v>5</v>
      </c>
      <c r="H402" s="212">
        <f>60</f>
        <v>60</v>
      </c>
      <c r="I402" s="212">
        <f t="shared" si="41"/>
        <v>0.9</v>
      </c>
      <c r="J402" s="212">
        <f>1</f>
        <v>1</v>
      </c>
      <c r="K402" s="212">
        <f t="shared" si="42"/>
        <v>4.1870000000000003</v>
      </c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  <c r="AA402" s="212"/>
      <c r="AB402" s="212"/>
      <c r="AC402" s="196"/>
      <c r="AD402" s="27"/>
      <c r="AE402" s="213"/>
      <c r="AF402" s="212">
        <f t="shared" si="43"/>
        <v>1.6239451708605301E-2</v>
      </c>
      <c r="AG402" s="212"/>
      <c r="AH402" s="212"/>
      <c r="AI402" s="212"/>
      <c r="AJ402" s="212"/>
      <c r="AK402" s="212"/>
      <c r="AL402" s="212"/>
      <c r="AM402" s="212"/>
      <c r="AN402" s="212"/>
      <c r="AO402" s="212"/>
      <c r="AP402" s="196"/>
      <c r="AQ402" s="196"/>
      <c r="AR402" s="211"/>
      <c r="AS402" s="212"/>
      <c r="AT402" s="212"/>
      <c r="AU402" s="212"/>
      <c r="AW402" s="58"/>
      <c r="AX402" s="58"/>
      <c r="AY402" s="58"/>
      <c r="AZ402" s="58"/>
    </row>
    <row r="403" spans="1:52" s="185" customFormat="1" ht="15" customHeight="1" x14ac:dyDescent="0.25">
      <c r="A403" s="200"/>
      <c r="B403" s="211"/>
      <c r="C403" s="212">
        <f t="shared" si="38"/>
        <v>39.200000000000287</v>
      </c>
      <c r="D403" s="231">
        <f>15+[2]!STEPLOAD(5)</f>
        <v>20</v>
      </c>
      <c r="E403" s="212">
        <f t="shared" si="39"/>
        <v>45.633354099687388</v>
      </c>
      <c r="F403" s="212">
        <f t="shared" si="40"/>
        <v>0.5</v>
      </c>
      <c r="G403" s="212">
        <f>5</f>
        <v>5</v>
      </c>
      <c r="H403" s="212">
        <f>60</f>
        <v>60</v>
      </c>
      <c r="I403" s="212">
        <f t="shared" si="41"/>
        <v>0.9</v>
      </c>
      <c r="J403" s="212">
        <f>1</f>
        <v>1</v>
      </c>
      <c r="K403" s="212">
        <f t="shared" si="42"/>
        <v>4.1870000000000003</v>
      </c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212"/>
      <c r="Y403" s="212"/>
      <c r="Z403" s="212"/>
      <c r="AA403" s="212"/>
      <c r="AB403" s="212"/>
      <c r="AC403" s="196"/>
      <c r="AD403" s="27"/>
      <c r="AE403" s="213"/>
      <c r="AF403" s="212">
        <f t="shared" si="43"/>
        <v>1.6077057191519195E-2</v>
      </c>
      <c r="AG403" s="212"/>
      <c r="AH403" s="212"/>
      <c r="AI403" s="212"/>
      <c r="AJ403" s="212"/>
      <c r="AK403" s="212"/>
      <c r="AL403" s="212"/>
      <c r="AM403" s="212"/>
      <c r="AN403" s="212"/>
      <c r="AO403" s="212"/>
      <c r="AP403" s="196"/>
      <c r="AQ403" s="196"/>
      <c r="AR403" s="211"/>
      <c r="AS403" s="212"/>
      <c r="AT403" s="212"/>
      <c r="AU403" s="212"/>
      <c r="AW403" s="58"/>
      <c r="AX403" s="58"/>
      <c r="AY403" s="58"/>
      <c r="AZ403" s="58"/>
    </row>
    <row r="404" spans="1:52" s="185" customFormat="1" ht="15" customHeight="1" x14ac:dyDescent="0.25">
      <c r="A404" s="200"/>
      <c r="B404" s="211"/>
      <c r="C404" s="212">
        <f t="shared" si="38"/>
        <v>39.300000000000288</v>
      </c>
      <c r="D404" s="231">
        <f>15+[2]!STEPLOAD(5)</f>
        <v>20</v>
      </c>
      <c r="E404" s="212">
        <f t="shared" si="39"/>
        <v>45.63496180540654</v>
      </c>
      <c r="F404" s="212">
        <f t="shared" si="40"/>
        <v>0.5</v>
      </c>
      <c r="G404" s="212">
        <f>5</f>
        <v>5</v>
      </c>
      <c r="H404" s="212">
        <f>60</f>
        <v>60</v>
      </c>
      <c r="I404" s="212">
        <f t="shared" si="41"/>
        <v>0.9</v>
      </c>
      <c r="J404" s="212">
        <f>1</f>
        <v>1</v>
      </c>
      <c r="K404" s="212">
        <f t="shared" si="42"/>
        <v>4.1870000000000003</v>
      </c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212"/>
      <c r="Y404" s="212"/>
      <c r="Z404" s="212"/>
      <c r="AA404" s="212"/>
      <c r="AB404" s="212"/>
      <c r="AC404" s="196"/>
      <c r="AD404" s="27"/>
      <c r="AE404" s="213"/>
      <c r="AF404" s="212">
        <f t="shared" si="43"/>
        <v>1.591628661960387E-2</v>
      </c>
      <c r="AG404" s="212"/>
      <c r="AH404" s="212"/>
      <c r="AI404" s="212"/>
      <c r="AJ404" s="212"/>
      <c r="AK404" s="212"/>
      <c r="AL404" s="212"/>
      <c r="AM404" s="212"/>
      <c r="AN404" s="212"/>
      <c r="AO404" s="212"/>
      <c r="AP404" s="196"/>
      <c r="AQ404" s="196"/>
      <c r="AR404" s="211"/>
      <c r="AS404" s="212"/>
      <c r="AT404" s="212"/>
      <c r="AU404" s="212"/>
      <c r="AW404" s="58"/>
      <c r="AX404" s="58"/>
      <c r="AY404" s="58"/>
      <c r="AZ404" s="58"/>
    </row>
    <row r="405" spans="1:52" s="185" customFormat="1" ht="15" customHeight="1" x14ac:dyDescent="0.25">
      <c r="A405" s="200"/>
      <c r="B405" s="211"/>
      <c r="C405" s="212">
        <f t="shared" si="38"/>
        <v>39.40000000000029</v>
      </c>
      <c r="D405" s="231">
        <f>15+[2]!STEPLOAD(5)</f>
        <v>20</v>
      </c>
      <c r="E405" s="212">
        <f t="shared" si="39"/>
        <v>45.636553434068503</v>
      </c>
      <c r="F405" s="212">
        <f t="shared" si="40"/>
        <v>0.5</v>
      </c>
      <c r="G405" s="212">
        <f>5</f>
        <v>5</v>
      </c>
      <c r="H405" s="212">
        <f>60</f>
        <v>60</v>
      </c>
      <c r="I405" s="212">
        <f t="shared" si="41"/>
        <v>0.9</v>
      </c>
      <c r="J405" s="212">
        <f>1</f>
        <v>1</v>
      </c>
      <c r="K405" s="212">
        <f t="shared" si="42"/>
        <v>4.1870000000000003</v>
      </c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  <c r="AA405" s="212"/>
      <c r="AB405" s="212"/>
      <c r="AC405" s="196"/>
      <c r="AD405" s="27"/>
      <c r="AE405" s="213"/>
      <c r="AF405" s="212">
        <f t="shared" si="43"/>
        <v>1.5757123753407765E-2</v>
      </c>
      <c r="AG405" s="212"/>
      <c r="AH405" s="212"/>
      <c r="AI405" s="212"/>
      <c r="AJ405" s="212"/>
      <c r="AK405" s="212"/>
      <c r="AL405" s="212"/>
      <c r="AM405" s="212"/>
      <c r="AN405" s="212"/>
      <c r="AO405" s="212"/>
      <c r="AP405" s="196"/>
      <c r="AQ405" s="196"/>
      <c r="AR405" s="211"/>
      <c r="AS405" s="212"/>
      <c r="AT405" s="212"/>
      <c r="AU405" s="212"/>
      <c r="AW405" s="58"/>
      <c r="AX405" s="58"/>
      <c r="AY405" s="58"/>
      <c r="AZ405" s="58"/>
    </row>
    <row r="406" spans="1:52" s="185" customFormat="1" ht="15" customHeight="1" x14ac:dyDescent="0.25">
      <c r="A406" s="200"/>
      <c r="B406" s="211"/>
      <c r="C406" s="212">
        <f t="shared" si="38"/>
        <v>39.500000000000291</v>
      </c>
      <c r="D406" s="231">
        <f>15+[2]!STEPLOAD(5)</f>
        <v>20</v>
      </c>
      <c r="E406" s="212">
        <f t="shared" si="39"/>
        <v>45.638129146443845</v>
      </c>
      <c r="F406" s="212">
        <f t="shared" si="40"/>
        <v>0.5</v>
      </c>
      <c r="G406" s="212">
        <f>5</f>
        <v>5</v>
      </c>
      <c r="H406" s="212">
        <f>60</f>
        <v>60</v>
      </c>
      <c r="I406" s="212">
        <f t="shared" si="41"/>
        <v>0.9</v>
      </c>
      <c r="J406" s="212">
        <f>1</f>
        <v>1</v>
      </c>
      <c r="K406" s="212">
        <f t="shared" si="42"/>
        <v>4.1870000000000003</v>
      </c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212"/>
      <c r="Y406" s="212"/>
      <c r="Z406" s="212"/>
      <c r="AA406" s="212"/>
      <c r="AB406" s="212"/>
      <c r="AC406" s="196"/>
      <c r="AD406" s="27"/>
      <c r="AE406" s="213"/>
      <c r="AF406" s="212">
        <f t="shared" si="43"/>
        <v>1.5599552515873416E-2</v>
      </c>
      <c r="AG406" s="212"/>
      <c r="AH406" s="212"/>
      <c r="AI406" s="212"/>
      <c r="AJ406" s="212"/>
      <c r="AK406" s="212"/>
      <c r="AL406" s="212"/>
      <c r="AM406" s="212"/>
      <c r="AN406" s="212"/>
      <c r="AO406" s="212"/>
      <c r="AP406" s="196"/>
      <c r="AQ406" s="196"/>
      <c r="AR406" s="211"/>
      <c r="AS406" s="212"/>
      <c r="AT406" s="212"/>
      <c r="AU406" s="212"/>
      <c r="AW406" s="58"/>
      <c r="AX406" s="58"/>
      <c r="AY406" s="58"/>
      <c r="AZ406" s="58"/>
    </row>
    <row r="407" spans="1:52" s="185" customFormat="1" ht="15" customHeight="1" x14ac:dyDescent="0.25">
      <c r="A407" s="200"/>
      <c r="B407" s="211"/>
      <c r="C407" s="212">
        <f t="shared" si="38"/>
        <v>39.600000000000293</v>
      </c>
      <c r="D407" s="231">
        <f>15+[2]!STEPLOAD(5)</f>
        <v>20</v>
      </c>
      <c r="E407" s="212">
        <f t="shared" si="39"/>
        <v>45.639689101695431</v>
      </c>
      <c r="F407" s="212">
        <f t="shared" si="40"/>
        <v>0.5</v>
      </c>
      <c r="G407" s="212">
        <f>5</f>
        <v>5</v>
      </c>
      <c r="H407" s="212">
        <f>60</f>
        <v>60</v>
      </c>
      <c r="I407" s="212">
        <f t="shared" si="41"/>
        <v>0.9</v>
      </c>
      <c r="J407" s="212">
        <f>1</f>
        <v>1</v>
      </c>
      <c r="K407" s="212">
        <f t="shared" si="42"/>
        <v>4.1870000000000003</v>
      </c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212"/>
      <c r="Y407" s="212"/>
      <c r="Z407" s="212"/>
      <c r="AA407" s="212"/>
      <c r="AB407" s="212"/>
      <c r="AC407" s="196"/>
      <c r="AD407" s="27"/>
      <c r="AE407" s="213"/>
      <c r="AF407" s="212">
        <f t="shared" si="43"/>
        <v>1.5443556990714757E-2</v>
      </c>
      <c r="AG407" s="212"/>
      <c r="AH407" s="212"/>
      <c r="AI407" s="212"/>
      <c r="AJ407" s="212"/>
      <c r="AK407" s="212"/>
      <c r="AL407" s="212"/>
      <c r="AM407" s="212"/>
      <c r="AN407" s="212"/>
      <c r="AO407" s="212"/>
      <c r="AP407" s="196"/>
      <c r="AQ407" s="196"/>
      <c r="AR407" s="211"/>
      <c r="AS407" s="212"/>
      <c r="AT407" s="212"/>
      <c r="AU407" s="212"/>
      <c r="AW407" s="58"/>
      <c r="AX407" s="58"/>
      <c r="AY407" s="58"/>
      <c r="AZ407" s="58"/>
    </row>
    <row r="408" spans="1:52" s="185" customFormat="1" ht="15" customHeight="1" x14ac:dyDescent="0.25">
      <c r="A408" s="200"/>
      <c r="B408" s="211"/>
      <c r="C408" s="212">
        <f t="shared" si="38"/>
        <v>39.700000000000294</v>
      </c>
      <c r="D408" s="231">
        <f>15+[2]!STEPLOAD(5)</f>
        <v>20</v>
      </c>
      <c r="E408" s="212">
        <f t="shared" si="39"/>
        <v>45.641233457394506</v>
      </c>
      <c r="F408" s="212">
        <f t="shared" si="40"/>
        <v>0.5</v>
      </c>
      <c r="G408" s="212">
        <f>5</f>
        <v>5</v>
      </c>
      <c r="H408" s="212">
        <f>60</f>
        <v>60</v>
      </c>
      <c r="I408" s="212">
        <f t="shared" si="41"/>
        <v>0.9</v>
      </c>
      <c r="J408" s="212">
        <f>1</f>
        <v>1</v>
      </c>
      <c r="K408" s="212">
        <f t="shared" si="42"/>
        <v>4.1870000000000003</v>
      </c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212"/>
      <c r="Y408" s="212"/>
      <c r="Z408" s="212"/>
      <c r="AA408" s="212"/>
      <c r="AB408" s="212"/>
      <c r="AC408" s="196"/>
      <c r="AD408" s="27"/>
      <c r="AE408" s="213"/>
      <c r="AF408" s="212">
        <f t="shared" si="43"/>
        <v>1.5289121420807295E-2</v>
      </c>
      <c r="AG408" s="212"/>
      <c r="AH408" s="212"/>
      <c r="AI408" s="212"/>
      <c r="AJ408" s="212"/>
      <c r="AK408" s="212"/>
      <c r="AL408" s="212"/>
      <c r="AM408" s="212"/>
      <c r="AN408" s="212"/>
      <c r="AO408" s="212"/>
      <c r="AP408" s="196"/>
      <c r="AQ408" s="196"/>
      <c r="AR408" s="211"/>
      <c r="AS408" s="212"/>
      <c r="AT408" s="212"/>
      <c r="AU408" s="212"/>
      <c r="AW408" s="58"/>
      <c r="AX408" s="58"/>
      <c r="AY408" s="58"/>
      <c r="AZ408" s="58"/>
    </row>
    <row r="409" spans="1:52" s="185" customFormat="1" ht="15" customHeight="1" x14ac:dyDescent="0.25">
      <c r="A409" s="200"/>
      <c r="B409" s="211"/>
      <c r="C409" s="212">
        <f t="shared" si="38"/>
        <v>39.800000000000296</v>
      </c>
      <c r="D409" s="231">
        <f>15+[2]!STEPLOAD(5)</f>
        <v>20</v>
      </c>
      <c r="E409" s="212">
        <f t="shared" si="39"/>
        <v>45.642762369536584</v>
      </c>
      <c r="F409" s="212">
        <f t="shared" si="40"/>
        <v>0.5</v>
      </c>
      <c r="G409" s="212">
        <f>5</f>
        <v>5</v>
      </c>
      <c r="H409" s="212">
        <f>60</f>
        <v>60</v>
      </c>
      <c r="I409" s="212">
        <f t="shared" si="41"/>
        <v>0.9</v>
      </c>
      <c r="J409" s="212">
        <f>1</f>
        <v>1</v>
      </c>
      <c r="K409" s="212">
        <f t="shared" si="42"/>
        <v>4.1870000000000003</v>
      </c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212"/>
      <c r="Y409" s="212"/>
      <c r="Z409" s="212"/>
      <c r="AA409" s="212"/>
      <c r="AB409" s="212"/>
      <c r="AC409" s="196"/>
      <c r="AD409" s="27"/>
      <c r="AE409" s="213"/>
      <c r="AF409" s="212">
        <f t="shared" si="43"/>
        <v>1.5136230206599599E-2</v>
      </c>
      <c r="AG409" s="212"/>
      <c r="AH409" s="212"/>
      <c r="AI409" s="212"/>
      <c r="AJ409" s="212"/>
      <c r="AK409" s="212"/>
      <c r="AL409" s="212"/>
      <c r="AM409" s="212"/>
      <c r="AN409" s="212"/>
      <c r="AO409" s="212"/>
      <c r="AP409" s="196"/>
      <c r="AQ409" s="196"/>
      <c r="AR409" s="211"/>
      <c r="AS409" s="212"/>
      <c r="AT409" s="212"/>
      <c r="AU409" s="212"/>
      <c r="AW409" s="58"/>
      <c r="AX409" s="58"/>
      <c r="AY409" s="58"/>
      <c r="AZ409" s="58"/>
    </row>
    <row r="410" spans="1:52" s="185" customFormat="1" ht="15" customHeight="1" x14ac:dyDescent="0.25">
      <c r="A410" s="200"/>
      <c r="B410" s="211"/>
      <c r="C410" s="212">
        <f t="shared" si="38"/>
        <v>39.900000000000297</v>
      </c>
      <c r="D410" s="231">
        <f>15+[2]!STEPLOAD(5)</f>
        <v>20</v>
      </c>
      <c r="E410" s="212">
        <f t="shared" si="39"/>
        <v>45.64427599255724</v>
      </c>
      <c r="F410" s="212">
        <f t="shared" si="40"/>
        <v>0.5</v>
      </c>
      <c r="G410" s="212">
        <f>5</f>
        <v>5</v>
      </c>
      <c r="H410" s="212">
        <f>60</f>
        <v>60</v>
      </c>
      <c r="I410" s="212">
        <f t="shared" si="41"/>
        <v>0.9</v>
      </c>
      <c r="J410" s="212">
        <f>1</f>
        <v>1</v>
      </c>
      <c r="K410" s="212">
        <f t="shared" si="42"/>
        <v>4.1870000000000003</v>
      </c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  <c r="AA410" s="212"/>
      <c r="AB410" s="212"/>
      <c r="AC410" s="196"/>
      <c r="AD410" s="27"/>
      <c r="AE410" s="213"/>
      <c r="AF410" s="212">
        <f t="shared" si="43"/>
        <v>1.4984867904533683E-2</v>
      </c>
      <c r="AG410" s="212"/>
      <c r="AH410" s="212"/>
      <c r="AI410" s="212"/>
      <c r="AJ410" s="212"/>
      <c r="AK410" s="212"/>
      <c r="AL410" s="212"/>
      <c r="AM410" s="212"/>
      <c r="AN410" s="212"/>
      <c r="AO410" s="212"/>
      <c r="AP410" s="196"/>
      <c r="AQ410" s="196"/>
      <c r="AR410" s="211"/>
      <c r="AS410" s="212"/>
      <c r="AT410" s="212"/>
      <c r="AU410" s="212"/>
      <c r="AW410" s="58"/>
      <c r="AX410" s="58"/>
      <c r="AY410" s="58"/>
      <c r="AZ410" s="58"/>
    </row>
    <row r="411" spans="1:52" s="185" customFormat="1" ht="15" customHeight="1" x14ac:dyDescent="0.25">
      <c r="A411" s="200"/>
      <c r="B411" s="211"/>
      <c r="C411" s="212">
        <f t="shared" si="38"/>
        <v>40.000000000000298</v>
      </c>
      <c r="D411" s="231">
        <f>15+[2]!STEPLOAD(5)</f>
        <v>20</v>
      </c>
      <c r="E411" s="212">
        <f t="shared" si="39"/>
        <v>45.645774479347693</v>
      </c>
      <c r="F411" s="212">
        <f t="shared" si="40"/>
        <v>0.5</v>
      </c>
      <c r="G411" s="212">
        <f>5</f>
        <v>5</v>
      </c>
      <c r="H411" s="212">
        <f>60</f>
        <v>60</v>
      </c>
      <c r="I411" s="212">
        <f t="shared" si="41"/>
        <v>0.9</v>
      </c>
      <c r="J411" s="212">
        <f>1</f>
        <v>1</v>
      </c>
      <c r="K411" s="212">
        <f t="shared" si="42"/>
        <v>4.1870000000000003</v>
      </c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212"/>
      <c r="Y411" s="212"/>
      <c r="Z411" s="212"/>
      <c r="AA411" s="212"/>
      <c r="AB411" s="212"/>
      <c r="AC411" s="196"/>
      <c r="AD411" s="27"/>
      <c r="AE411" s="213"/>
      <c r="AF411" s="212">
        <f t="shared" si="43"/>
        <v>1.4835019225488466E-2</v>
      </c>
      <c r="AG411" s="212"/>
      <c r="AH411" s="212"/>
      <c r="AI411" s="212"/>
      <c r="AJ411" s="212"/>
      <c r="AK411" s="212"/>
      <c r="AL411" s="212"/>
      <c r="AM411" s="212"/>
      <c r="AN411" s="212"/>
      <c r="AO411" s="212"/>
      <c r="AP411" s="196"/>
      <c r="AQ411" s="196"/>
      <c r="AR411" s="211"/>
      <c r="AS411" s="212"/>
      <c r="AT411" s="212"/>
      <c r="AU411" s="212"/>
      <c r="AW411" s="58"/>
      <c r="AX411" s="58"/>
      <c r="AY411" s="58"/>
      <c r="AZ411" s="58"/>
    </row>
    <row r="412" spans="1:52" s="185" customFormat="1" ht="15" customHeight="1" x14ac:dyDescent="0.25">
      <c r="A412" s="200"/>
      <c r="B412" s="211"/>
      <c r="C412" s="212">
        <f t="shared" si="38"/>
        <v>40.1000000000003</v>
      </c>
      <c r="D412" s="231">
        <f>15+[2]!STEPLOAD(5)</f>
        <v>20</v>
      </c>
      <c r="E412" s="212">
        <f t="shared" si="39"/>
        <v>45.647257981270243</v>
      </c>
      <c r="F412" s="212">
        <f t="shared" si="40"/>
        <v>0.5</v>
      </c>
      <c r="G412" s="212">
        <f>5</f>
        <v>5</v>
      </c>
      <c r="H412" s="212">
        <f>60</f>
        <v>60</v>
      </c>
      <c r="I412" s="212">
        <f t="shared" si="41"/>
        <v>0.9</v>
      </c>
      <c r="J412" s="212">
        <f>1</f>
        <v>1</v>
      </c>
      <c r="K412" s="212">
        <f t="shared" si="42"/>
        <v>4.1870000000000003</v>
      </c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212"/>
      <c r="Y412" s="212"/>
      <c r="Z412" s="212"/>
      <c r="AA412" s="212"/>
      <c r="AB412" s="212"/>
      <c r="AC412" s="196"/>
      <c r="AD412" s="27"/>
      <c r="AE412" s="213"/>
      <c r="AF412" s="212">
        <f t="shared" si="43"/>
        <v>1.4686669033233457E-2</v>
      </c>
      <c r="AG412" s="212"/>
      <c r="AH412" s="212"/>
      <c r="AI412" s="212"/>
      <c r="AJ412" s="212"/>
      <c r="AK412" s="212"/>
      <c r="AL412" s="212"/>
      <c r="AM412" s="212"/>
      <c r="AN412" s="212"/>
      <c r="AO412" s="212"/>
      <c r="AP412" s="196"/>
      <c r="AQ412" s="196"/>
      <c r="AR412" s="211"/>
      <c r="AS412" s="212"/>
      <c r="AT412" s="212"/>
      <c r="AU412" s="212"/>
      <c r="AW412" s="58"/>
      <c r="AX412" s="58"/>
      <c r="AY412" s="58"/>
      <c r="AZ412" s="58"/>
    </row>
    <row r="413" spans="1:52" s="185" customFormat="1" ht="15" customHeight="1" x14ac:dyDescent="0.25">
      <c r="A413" s="200"/>
      <c r="B413" s="211"/>
      <c r="C413" s="212">
        <f t="shared" si="38"/>
        <v>40.200000000000301</v>
      </c>
      <c r="D413" s="231">
        <f>15+[2]!STEPLOAD(5)</f>
        <v>20</v>
      </c>
      <c r="E413" s="212">
        <f t="shared" si="39"/>
        <v>45.648726648173565</v>
      </c>
      <c r="F413" s="212">
        <f t="shared" si="40"/>
        <v>0.5</v>
      </c>
      <c r="G413" s="212">
        <f>5</f>
        <v>5</v>
      </c>
      <c r="H413" s="212">
        <f>60</f>
        <v>60</v>
      </c>
      <c r="I413" s="212">
        <f t="shared" si="41"/>
        <v>0.9</v>
      </c>
      <c r="J413" s="212">
        <f>1</f>
        <v>1</v>
      </c>
      <c r="K413" s="212">
        <f t="shared" si="42"/>
        <v>4.1870000000000003</v>
      </c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212"/>
      <c r="Y413" s="212"/>
      <c r="Z413" s="212"/>
      <c r="AA413" s="212"/>
      <c r="AB413" s="212"/>
      <c r="AC413" s="196"/>
      <c r="AD413" s="27"/>
      <c r="AE413" s="213"/>
      <c r="AF413" s="212">
        <f t="shared" si="43"/>
        <v>1.4539802342901531E-2</v>
      </c>
      <c r="AG413" s="212"/>
      <c r="AH413" s="212"/>
      <c r="AI413" s="212"/>
      <c r="AJ413" s="212"/>
      <c r="AK413" s="212"/>
      <c r="AL413" s="212"/>
      <c r="AM413" s="212"/>
      <c r="AN413" s="212"/>
      <c r="AO413" s="212"/>
      <c r="AP413" s="196"/>
      <c r="AQ413" s="196"/>
      <c r="AR413" s="211"/>
      <c r="AS413" s="212"/>
      <c r="AT413" s="212"/>
      <c r="AU413" s="212"/>
      <c r="AW413" s="58"/>
      <c r="AX413" s="58"/>
      <c r="AY413" s="58"/>
      <c r="AZ413" s="58"/>
    </row>
    <row r="414" spans="1:52" s="185" customFormat="1" ht="15" customHeight="1" x14ac:dyDescent="0.25">
      <c r="A414" s="200"/>
      <c r="B414" s="211"/>
      <c r="C414" s="212">
        <f t="shared" si="38"/>
        <v>40.300000000000303</v>
      </c>
      <c r="D414" s="231">
        <f>15+[2]!STEPLOAD(5)</f>
        <v>20</v>
      </c>
      <c r="E414" s="212">
        <f t="shared" si="39"/>
        <v>45.650180628407853</v>
      </c>
      <c r="F414" s="212">
        <f t="shared" si="40"/>
        <v>0.5</v>
      </c>
      <c r="G414" s="212">
        <f>5</f>
        <v>5</v>
      </c>
      <c r="H414" s="212">
        <f>60</f>
        <v>60</v>
      </c>
      <c r="I414" s="212">
        <f t="shared" si="41"/>
        <v>0.9</v>
      </c>
      <c r="J414" s="212">
        <f>1</f>
        <v>1</v>
      </c>
      <c r="K414" s="212">
        <f t="shared" si="42"/>
        <v>4.1870000000000003</v>
      </c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  <c r="AA414" s="212"/>
      <c r="AB414" s="212"/>
      <c r="AC414" s="196"/>
      <c r="AD414" s="27"/>
      <c r="AE414" s="213"/>
      <c r="AF414" s="212">
        <f t="shared" si="43"/>
        <v>1.4394404319472809E-2</v>
      </c>
      <c r="AG414" s="212"/>
      <c r="AH414" s="212"/>
      <c r="AI414" s="212"/>
      <c r="AJ414" s="212"/>
      <c r="AK414" s="212"/>
      <c r="AL414" s="212"/>
      <c r="AM414" s="212"/>
      <c r="AN414" s="212"/>
      <c r="AO414" s="212"/>
      <c r="AP414" s="196"/>
      <c r="AQ414" s="196"/>
      <c r="AR414" s="211"/>
      <c r="AS414" s="212"/>
      <c r="AT414" s="212"/>
      <c r="AU414" s="212"/>
      <c r="AW414" s="58"/>
      <c r="AX414" s="58"/>
      <c r="AY414" s="58"/>
      <c r="AZ414" s="58"/>
    </row>
    <row r="415" spans="1:52" s="185" customFormat="1" ht="15" customHeight="1" x14ac:dyDescent="0.25">
      <c r="A415" s="200"/>
      <c r="B415" s="211"/>
      <c r="C415" s="212">
        <f t="shared" si="38"/>
        <v>40.400000000000304</v>
      </c>
      <c r="D415" s="231">
        <f>15+[2]!STEPLOAD(5)</f>
        <v>20</v>
      </c>
      <c r="E415" s="212">
        <f t="shared" si="39"/>
        <v>45.651620068839797</v>
      </c>
      <c r="F415" s="212">
        <f t="shared" si="40"/>
        <v>0.5</v>
      </c>
      <c r="G415" s="212">
        <f>5</f>
        <v>5</v>
      </c>
      <c r="H415" s="212">
        <f>60</f>
        <v>60</v>
      </c>
      <c r="I415" s="212">
        <f t="shared" si="41"/>
        <v>0.9</v>
      </c>
      <c r="J415" s="212">
        <f>1</f>
        <v>1</v>
      </c>
      <c r="K415" s="212">
        <f t="shared" si="42"/>
        <v>4.1870000000000003</v>
      </c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212"/>
      <c r="Y415" s="212"/>
      <c r="Z415" s="212"/>
      <c r="AA415" s="212"/>
      <c r="AB415" s="212"/>
      <c r="AC415" s="196"/>
      <c r="AD415" s="27"/>
      <c r="AE415" s="213"/>
      <c r="AF415" s="212">
        <f t="shared" si="43"/>
        <v>1.4250460276278076E-2</v>
      </c>
      <c r="AG415" s="212"/>
      <c r="AH415" s="212"/>
      <c r="AI415" s="212"/>
      <c r="AJ415" s="212"/>
      <c r="AK415" s="212"/>
      <c r="AL415" s="212"/>
      <c r="AM415" s="212"/>
      <c r="AN415" s="212"/>
      <c r="AO415" s="212"/>
      <c r="AP415" s="196"/>
      <c r="AQ415" s="196"/>
      <c r="AR415" s="211"/>
      <c r="AS415" s="212"/>
      <c r="AT415" s="212"/>
      <c r="AU415" s="212"/>
      <c r="AW415" s="58"/>
      <c r="AX415" s="58"/>
      <c r="AY415" s="58"/>
      <c r="AZ415" s="58"/>
    </row>
    <row r="416" spans="1:52" s="185" customFormat="1" ht="15" customHeight="1" x14ac:dyDescent="0.25">
      <c r="A416" s="200"/>
      <c r="B416" s="211"/>
      <c r="C416" s="212">
        <f t="shared" si="38"/>
        <v>40.500000000000306</v>
      </c>
      <c r="D416" s="231">
        <f>15+[2]!STEPLOAD(5)</f>
        <v>20</v>
      </c>
      <c r="E416" s="212">
        <f t="shared" si="39"/>
        <v>45.653045114867425</v>
      </c>
      <c r="F416" s="212">
        <f t="shared" si="40"/>
        <v>0.5</v>
      </c>
      <c r="G416" s="212">
        <f>5</f>
        <v>5</v>
      </c>
      <c r="H416" s="212">
        <f>60</f>
        <v>60</v>
      </c>
      <c r="I416" s="212">
        <f t="shared" si="41"/>
        <v>0.9</v>
      </c>
      <c r="J416" s="212">
        <f>1</f>
        <v>1</v>
      </c>
      <c r="K416" s="212">
        <f t="shared" si="42"/>
        <v>4.1870000000000003</v>
      </c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212"/>
      <c r="Y416" s="212"/>
      <c r="Z416" s="212"/>
      <c r="AA416" s="212"/>
      <c r="AB416" s="212"/>
      <c r="AC416" s="196"/>
      <c r="AD416" s="27"/>
      <c r="AE416" s="213"/>
      <c r="AF416" s="212">
        <f t="shared" si="43"/>
        <v>1.4107955673515526E-2</v>
      </c>
      <c r="AG416" s="212"/>
      <c r="AH416" s="212"/>
      <c r="AI416" s="212"/>
      <c r="AJ416" s="212"/>
      <c r="AK416" s="212"/>
      <c r="AL416" s="212"/>
      <c r="AM416" s="212"/>
      <c r="AN416" s="212"/>
      <c r="AO416" s="212"/>
      <c r="AP416" s="196"/>
      <c r="AQ416" s="196"/>
      <c r="AR416" s="211"/>
      <c r="AS416" s="212"/>
      <c r="AT416" s="212"/>
      <c r="AU416" s="212"/>
      <c r="AW416" s="58"/>
      <c r="AX416" s="58"/>
      <c r="AY416" s="58"/>
      <c r="AZ416" s="58"/>
    </row>
    <row r="417" spans="1:52" s="185" customFormat="1" ht="15" customHeight="1" x14ac:dyDescent="0.25">
      <c r="A417" s="200"/>
      <c r="B417" s="211"/>
      <c r="C417" s="212">
        <f t="shared" si="38"/>
        <v>40.600000000000307</v>
      </c>
      <c r="D417" s="231">
        <f>15+[2]!STEPLOAD(5)</f>
        <v>20</v>
      </c>
      <c r="E417" s="212">
        <f t="shared" si="39"/>
        <v>45.654455910434777</v>
      </c>
      <c r="F417" s="212">
        <f t="shared" si="40"/>
        <v>0.5</v>
      </c>
      <c r="G417" s="212">
        <f>5</f>
        <v>5</v>
      </c>
      <c r="H417" s="212">
        <f>60</f>
        <v>60</v>
      </c>
      <c r="I417" s="212">
        <f t="shared" si="41"/>
        <v>0.9</v>
      </c>
      <c r="J417" s="212">
        <f>1</f>
        <v>1</v>
      </c>
      <c r="K417" s="212">
        <f t="shared" si="42"/>
        <v>4.1870000000000003</v>
      </c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212"/>
      <c r="Y417" s="212"/>
      <c r="Z417" s="212"/>
      <c r="AA417" s="212"/>
      <c r="AB417" s="212"/>
      <c r="AC417" s="196"/>
      <c r="AD417" s="27"/>
      <c r="AE417" s="213"/>
      <c r="AF417" s="212">
        <f t="shared" si="43"/>
        <v>1.396687611678038E-2</v>
      </c>
      <c r="AG417" s="212"/>
      <c r="AH417" s="212"/>
      <c r="AI417" s="212"/>
      <c r="AJ417" s="212"/>
      <c r="AK417" s="212"/>
      <c r="AL417" s="212"/>
      <c r="AM417" s="212"/>
      <c r="AN417" s="212"/>
      <c r="AO417" s="212"/>
      <c r="AP417" s="196"/>
      <c r="AQ417" s="196"/>
      <c r="AR417" s="211"/>
      <c r="AS417" s="212"/>
      <c r="AT417" s="212"/>
      <c r="AU417" s="212"/>
      <c r="AW417" s="58"/>
      <c r="AX417" s="58"/>
      <c r="AY417" s="58"/>
      <c r="AZ417" s="58"/>
    </row>
    <row r="418" spans="1:52" s="185" customFormat="1" ht="15" customHeight="1" x14ac:dyDescent="0.25">
      <c r="A418" s="200"/>
      <c r="B418" s="211"/>
      <c r="C418" s="212">
        <f t="shared" si="38"/>
        <v>40.700000000000308</v>
      </c>
      <c r="D418" s="231">
        <f>15+[2]!STEPLOAD(5)</f>
        <v>20</v>
      </c>
      <c r="E418" s="212">
        <f t="shared" si="39"/>
        <v>45.655852598046458</v>
      </c>
      <c r="F418" s="212">
        <f t="shared" si="40"/>
        <v>0.5</v>
      </c>
      <c r="G418" s="212">
        <f>5</f>
        <v>5</v>
      </c>
      <c r="H418" s="212">
        <f>60</f>
        <v>60</v>
      </c>
      <c r="I418" s="212">
        <f t="shared" si="41"/>
        <v>0.9</v>
      </c>
      <c r="J418" s="212">
        <f>1</f>
        <v>1</v>
      </c>
      <c r="K418" s="212">
        <f t="shared" si="42"/>
        <v>4.1870000000000003</v>
      </c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212"/>
      <c r="Y418" s="212"/>
      <c r="Z418" s="212"/>
      <c r="AA418" s="212"/>
      <c r="AB418" s="212"/>
      <c r="AC418" s="196"/>
      <c r="AD418" s="27"/>
      <c r="AE418" s="213"/>
      <c r="AF418" s="212">
        <f t="shared" si="43"/>
        <v>1.382720735561227E-2</v>
      </c>
      <c r="AG418" s="212"/>
      <c r="AH418" s="212"/>
      <c r="AI418" s="212"/>
      <c r="AJ418" s="212"/>
      <c r="AK418" s="212"/>
      <c r="AL418" s="212"/>
      <c r="AM418" s="212"/>
      <c r="AN418" s="212"/>
      <c r="AO418" s="212"/>
      <c r="AP418" s="196"/>
      <c r="AQ418" s="196"/>
      <c r="AR418" s="211"/>
      <c r="AS418" s="212"/>
      <c r="AT418" s="212"/>
      <c r="AU418" s="212"/>
      <c r="AW418" s="58"/>
      <c r="AX418" s="58"/>
      <c r="AY418" s="58"/>
      <c r="AZ418" s="58"/>
    </row>
    <row r="419" spans="1:52" s="185" customFormat="1" ht="15" customHeight="1" x14ac:dyDescent="0.25">
      <c r="A419" s="200"/>
      <c r="B419" s="211"/>
      <c r="C419" s="212">
        <f t="shared" si="38"/>
        <v>40.80000000000031</v>
      </c>
      <c r="D419" s="231">
        <f>15+[2]!STEPLOAD(5)</f>
        <v>20</v>
      </c>
      <c r="E419" s="212">
        <f t="shared" si="39"/>
        <v>45.657235318782021</v>
      </c>
      <c r="F419" s="212">
        <f t="shared" si="40"/>
        <v>0.5</v>
      </c>
      <c r="G419" s="212">
        <f>5</f>
        <v>5</v>
      </c>
      <c r="H419" s="212">
        <f>60</f>
        <v>60</v>
      </c>
      <c r="I419" s="212">
        <f t="shared" si="41"/>
        <v>0.9</v>
      </c>
      <c r="J419" s="212">
        <f>1</f>
        <v>1</v>
      </c>
      <c r="K419" s="212">
        <f t="shared" si="42"/>
        <v>4.1870000000000003</v>
      </c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212"/>
      <c r="Y419" s="212"/>
      <c r="Z419" s="212"/>
      <c r="AA419" s="212"/>
      <c r="AB419" s="212"/>
      <c r="AC419" s="196"/>
      <c r="AD419" s="27"/>
      <c r="AE419" s="213"/>
      <c r="AF419" s="212">
        <f t="shared" si="43"/>
        <v>1.3688935282055947E-2</v>
      </c>
      <c r="AG419" s="212"/>
      <c r="AH419" s="212"/>
      <c r="AI419" s="212"/>
      <c r="AJ419" s="212"/>
      <c r="AK419" s="212"/>
      <c r="AL419" s="212"/>
      <c r="AM419" s="212"/>
      <c r="AN419" s="212"/>
      <c r="AO419" s="212"/>
      <c r="AP419" s="196"/>
      <c r="AQ419" s="196"/>
      <c r="AR419" s="211"/>
      <c r="AS419" s="212"/>
      <c r="AT419" s="212"/>
      <c r="AU419" s="212"/>
      <c r="AW419" s="58"/>
      <c r="AX419" s="58"/>
      <c r="AY419" s="58"/>
      <c r="AZ419" s="58"/>
    </row>
    <row r="420" spans="1:52" s="185" customFormat="1" ht="15" customHeight="1" x14ac:dyDescent="0.25">
      <c r="A420" s="200"/>
      <c r="B420" s="211"/>
      <c r="C420" s="212">
        <f t="shared" si="38"/>
        <v>40.900000000000311</v>
      </c>
      <c r="D420" s="231">
        <f>15+[2]!STEPLOAD(5)</f>
        <v>20</v>
      </c>
      <c r="E420" s="212">
        <f t="shared" si="39"/>
        <v>45.65860421231023</v>
      </c>
      <c r="F420" s="212">
        <f t="shared" si="40"/>
        <v>0.5</v>
      </c>
      <c r="G420" s="212">
        <f>5</f>
        <v>5</v>
      </c>
      <c r="H420" s="212">
        <f>60</f>
        <v>60</v>
      </c>
      <c r="I420" s="212">
        <f t="shared" si="41"/>
        <v>0.9</v>
      </c>
      <c r="J420" s="212">
        <f>1</f>
        <v>1</v>
      </c>
      <c r="K420" s="212">
        <f t="shared" si="42"/>
        <v>4.1870000000000003</v>
      </c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212"/>
      <c r="Y420" s="212"/>
      <c r="Z420" s="212"/>
      <c r="AA420" s="212"/>
      <c r="AB420" s="212"/>
      <c r="AC420" s="196"/>
      <c r="AD420" s="27"/>
      <c r="AE420" s="213"/>
      <c r="AF420" s="212">
        <f t="shared" si="43"/>
        <v>1.3552045929234868E-2</v>
      </c>
      <c r="AG420" s="212"/>
      <c r="AH420" s="212"/>
      <c r="AI420" s="212"/>
      <c r="AJ420" s="212"/>
      <c r="AK420" s="212"/>
      <c r="AL420" s="212"/>
      <c r="AM420" s="212"/>
      <c r="AN420" s="212"/>
      <c r="AO420" s="212"/>
      <c r="AP420" s="196"/>
      <c r="AQ420" s="196"/>
      <c r="AR420" s="211"/>
      <c r="AS420" s="212"/>
      <c r="AT420" s="212"/>
      <c r="AU420" s="212"/>
      <c r="AW420" s="58"/>
      <c r="AX420" s="58"/>
      <c r="AY420" s="58"/>
      <c r="AZ420" s="58"/>
    </row>
    <row r="421" spans="1:52" s="185" customFormat="1" ht="15" customHeight="1" x14ac:dyDescent="0.25">
      <c r="A421" s="200"/>
      <c r="B421" s="211"/>
      <c r="C421" s="212">
        <f t="shared" si="38"/>
        <v>41.000000000000313</v>
      </c>
      <c r="D421" s="231">
        <f>15+[2]!STEPLOAD(5)</f>
        <v>20</v>
      </c>
      <c r="E421" s="212">
        <f t="shared" si="39"/>
        <v>45.659959416903156</v>
      </c>
      <c r="F421" s="212">
        <f t="shared" si="40"/>
        <v>0.5</v>
      </c>
      <c r="G421" s="212">
        <f>5</f>
        <v>5</v>
      </c>
      <c r="H421" s="212">
        <f>60</f>
        <v>60</v>
      </c>
      <c r="I421" s="212">
        <f t="shared" si="41"/>
        <v>0.9</v>
      </c>
      <c r="J421" s="212">
        <f>1</f>
        <v>1</v>
      </c>
      <c r="K421" s="212">
        <f t="shared" si="42"/>
        <v>4.1870000000000003</v>
      </c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  <c r="AA421" s="212"/>
      <c r="AB421" s="212"/>
      <c r="AC421" s="196"/>
      <c r="AD421" s="27"/>
      <c r="AE421" s="213"/>
      <c r="AF421" s="212">
        <f t="shared" si="43"/>
        <v>1.3416525469942098E-2</v>
      </c>
      <c r="AG421" s="212"/>
      <c r="AH421" s="212"/>
      <c r="AI421" s="212"/>
      <c r="AJ421" s="212"/>
      <c r="AK421" s="212"/>
      <c r="AL421" s="212"/>
      <c r="AM421" s="212"/>
      <c r="AN421" s="212"/>
      <c r="AO421" s="212"/>
      <c r="AP421" s="196"/>
      <c r="AQ421" s="196"/>
      <c r="AR421" s="211"/>
      <c r="AS421" s="212"/>
      <c r="AT421" s="212"/>
      <c r="AU421" s="212"/>
      <c r="AW421" s="58"/>
      <c r="AX421" s="58"/>
      <c r="AY421" s="58"/>
      <c r="AZ421" s="58"/>
    </row>
    <row r="422" spans="1:52" s="185" customFormat="1" ht="15" customHeight="1" x14ac:dyDescent="0.25">
      <c r="A422" s="200"/>
      <c r="B422" s="211"/>
      <c r="C422" s="212">
        <f t="shared" si="38"/>
        <v>41.100000000000314</v>
      </c>
      <c r="D422" s="231">
        <f>15+[2]!STEPLOAD(5)</f>
        <v>20</v>
      </c>
      <c r="E422" s="212">
        <f t="shared" si="39"/>
        <v>45.661301069450147</v>
      </c>
      <c r="F422" s="212">
        <f t="shared" si="40"/>
        <v>0.5</v>
      </c>
      <c r="G422" s="212">
        <f>5</f>
        <v>5</v>
      </c>
      <c r="H422" s="212">
        <f>60</f>
        <v>60</v>
      </c>
      <c r="I422" s="212">
        <f t="shared" si="41"/>
        <v>0.9</v>
      </c>
      <c r="J422" s="212">
        <f>1</f>
        <v>1</v>
      </c>
      <c r="K422" s="212">
        <f t="shared" si="42"/>
        <v>4.1870000000000003</v>
      </c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212"/>
      <c r="Y422" s="212"/>
      <c r="Z422" s="212"/>
      <c r="AA422" s="212"/>
      <c r="AB422" s="212"/>
      <c r="AC422" s="196"/>
      <c r="AD422" s="27"/>
      <c r="AE422" s="213"/>
      <c r="AF422" s="212">
        <f t="shared" si="43"/>
        <v>1.3282360215243205E-2</v>
      </c>
      <c r="AG422" s="212"/>
      <c r="AH422" s="212"/>
      <c r="AI422" s="212"/>
      <c r="AJ422" s="212"/>
      <c r="AK422" s="212"/>
      <c r="AL422" s="212"/>
      <c r="AM422" s="212"/>
      <c r="AN422" s="212"/>
      <c r="AO422" s="212"/>
      <c r="AP422" s="196"/>
      <c r="AQ422" s="196"/>
      <c r="AR422" s="211"/>
      <c r="AS422" s="212"/>
      <c r="AT422" s="212"/>
      <c r="AU422" s="212"/>
      <c r="AW422" s="58"/>
      <c r="AX422" s="58"/>
      <c r="AY422" s="58"/>
      <c r="AZ422" s="58"/>
    </row>
    <row r="423" spans="1:52" s="185" customFormat="1" ht="15" customHeight="1" x14ac:dyDescent="0.25">
      <c r="A423" s="200"/>
      <c r="B423" s="211"/>
      <c r="C423" s="212">
        <f t="shared" si="38"/>
        <v>41.200000000000315</v>
      </c>
      <c r="D423" s="231">
        <f>15+[2]!STEPLOAD(5)</f>
        <v>20</v>
      </c>
      <c r="E423" s="212">
        <f t="shared" si="39"/>
        <v>45.662629305471668</v>
      </c>
      <c r="F423" s="212">
        <f t="shared" si="40"/>
        <v>0.5</v>
      </c>
      <c r="G423" s="212">
        <f>5</f>
        <v>5</v>
      </c>
      <c r="H423" s="212">
        <f>60</f>
        <v>60</v>
      </c>
      <c r="I423" s="212">
        <f t="shared" si="41"/>
        <v>0.9</v>
      </c>
      <c r="J423" s="212">
        <f>1</f>
        <v>1</v>
      </c>
      <c r="K423" s="212">
        <f t="shared" si="42"/>
        <v>4.1870000000000003</v>
      </c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212"/>
      <c r="Y423" s="212"/>
      <c r="Z423" s="212"/>
      <c r="AA423" s="212"/>
      <c r="AB423" s="212"/>
      <c r="AC423" s="196"/>
      <c r="AD423" s="27"/>
      <c r="AE423" s="213"/>
      <c r="AF423" s="212">
        <f t="shared" si="43"/>
        <v>1.3149536613091151E-2</v>
      </c>
      <c r="AG423" s="212"/>
      <c r="AH423" s="212"/>
      <c r="AI423" s="212"/>
      <c r="AJ423" s="212"/>
      <c r="AK423" s="212"/>
      <c r="AL423" s="212"/>
      <c r="AM423" s="212"/>
      <c r="AN423" s="212"/>
      <c r="AO423" s="212"/>
      <c r="AP423" s="196"/>
      <c r="AQ423" s="196"/>
      <c r="AR423" s="211"/>
      <c r="AS423" s="212"/>
      <c r="AT423" s="212"/>
      <c r="AU423" s="212"/>
      <c r="AW423" s="58"/>
      <c r="AX423" s="58"/>
      <c r="AY423" s="58"/>
      <c r="AZ423" s="58"/>
    </row>
    <row r="424" spans="1:52" s="185" customFormat="1" ht="15" customHeight="1" x14ac:dyDescent="0.25">
      <c r="A424" s="200"/>
      <c r="B424" s="211"/>
      <c r="C424" s="212">
        <f t="shared" si="38"/>
        <v>41.300000000000317</v>
      </c>
      <c r="D424" s="231">
        <f>15+[2]!STEPLOAD(5)</f>
        <v>20</v>
      </c>
      <c r="E424" s="212">
        <f t="shared" si="39"/>
        <v>45.663944259132975</v>
      </c>
      <c r="F424" s="212">
        <f t="shared" si="40"/>
        <v>0.5</v>
      </c>
      <c r="G424" s="212">
        <f>5</f>
        <v>5</v>
      </c>
      <c r="H424" s="212">
        <f>60</f>
        <v>60</v>
      </c>
      <c r="I424" s="212">
        <f t="shared" si="41"/>
        <v>0.9</v>
      </c>
      <c r="J424" s="212">
        <f>1</f>
        <v>1</v>
      </c>
      <c r="K424" s="212">
        <f t="shared" si="42"/>
        <v>4.1870000000000003</v>
      </c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212"/>
      <c r="Y424" s="212"/>
      <c r="Z424" s="212"/>
      <c r="AA424" s="212"/>
      <c r="AB424" s="212"/>
      <c r="AC424" s="196"/>
      <c r="AD424" s="27"/>
      <c r="AE424" s="213"/>
      <c r="AF424" s="212">
        <f t="shared" si="43"/>
        <v>1.3018041246960266E-2</v>
      </c>
      <c r="AG424" s="212"/>
      <c r="AH424" s="212"/>
      <c r="AI424" s="212"/>
      <c r="AJ424" s="212"/>
      <c r="AK424" s="212"/>
      <c r="AL424" s="212"/>
      <c r="AM424" s="212"/>
      <c r="AN424" s="212"/>
      <c r="AO424" s="212"/>
      <c r="AP424" s="196"/>
      <c r="AQ424" s="196"/>
      <c r="AR424" s="211"/>
      <c r="AS424" s="212"/>
      <c r="AT424" s="212"/>
      <c r="AU424" s="212"/>
      <c r="AW424" s="58"/>
      <c r="AX424" s="58"/>
      <c r="AY424" s="58"/>
      <c r="AZ424" s="58"/>
    </row>
    <row r="425" spans="1:52" s="185" customFormat="1" ht="15" customHeight="1" x14ac:dyDescent="0.25">
      <c r="A425" s="200"/>
      <c r="B425" s="211"/>
      <c r="C425" s="212">
        <f t="shared" si="38"/>
        <v>41.400000000000318</v>
      </c>
      <c r="D425" s="231">
        <f>15+[2]!STEPLOAD(5)</f>
        <v>20</v>
      </c>
      <c r="E425" s="212">
        <f t="shared" si="39"/>
        <v>45.665246063257669</v>
      </c>
      <c r="F425" s="212">
        <f t="shared" si="40"/>
        <v>0.5</v>
      </c>
      <c r="G425" s="212">
        <f>5</f>
        <v>5</v>
      </c>
      <c r="H425" s="212">
        <f>60</f>
        <v>60</v>
      </c>
      <c r="I425" s="212">
        <f t="shared" si="41"/>
        <v>0.9</v>
      </c>
      <c r="J425" s="212">
        <f>1</f>
        <v>1</v>
      </c>
      <c r="K425" s="212">
        <f t="shared" si="42"/>
        <v>4.1870000000000003</v>
      </c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212"/>
      <c r="Y425" s="212"/>
      <c r="Z425" s="212"/>
      <c r="AA425" s="212"/>
      <c r="AB425" s="212"/>
      <c r="AC425" s="196"/>
      <c r="AD425" s="27"/>
      <c r="AE425" s="213"/>
      <c r="AF425" s="212">
        <f t="shared" si="43"/>
        <v>1.2887860834490894E-2</v>
      </c>
      <c r="AG425" s="212"/>
      <c r="AH425" s="212"/>
      <c r="AI425" s="212"/>
      <c r="AJ425" s="212"/>
      <c r="AK425" s="212"/>
      <c r="AL425" s="212"/>
      <c r="AM425" s="212"/>
      <c r="AN425" s="212"/>
      <c r="AO425" s="212"/>
      <c r="AP425" s="196"/>
      <c r="AQ425" s="196"/>
      <c r="AR425" s="211"/>
      <c r="AS425" s="212"/>
      <c r="AT425" s="212"/>
      <c r="AU425" s="212"/>
      <c r="AW425" s="58"/>
      <c r="AX425" s="58"/>
      <c r="AY425" s="58"/>
      <c r="AZ425" s="58"/>
    </row>
    <row r="426" spans="1:52" s="185" customFormat="1" ht="15" customHeight="1" x14ac:dyDescent="0.25">
      <c r="A426" s="200"/>
      <c r="B426" s="211"/>
      <c r="C426" s="212">
        <f t="shared" si="38"/>
        <v>41.50000000000032</v>
      </c>
      <c r="D426" s="231">
        <f>15+[2]!STEPLOAD(5)</f>
        <v>20</v>
      </c>
      <c r="E426" s="212">
        <f t="shared" si="39"/>
        <v>45.666534849341119</v>
      </c>
      <c r="F426" s="212">
        <f t="shared" si="40"/>
        <v>0.5</v>
      </c>
      <c r="G426" s="212">
        <f>5</f>
        <v>5</v>
      </c>
      <c r="H426" s="212">
        <f>60</f>
        <v>60</v>
      </c>
      <c r="I426" s="212">
        <f t="shared" si="41"/>
        <v>0.9</v>
      </c>
      <c r="J426" s="212">
        <f>1</f>
        <v>1</v>
      </c>
      <c r="K426" s="212">
        <f t="shared" si="42"/>
        <v>4.1870000000000003</v>
      </c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212"/>
      <c r="Y426" s="212"/>
      <c r="Z426" s="212"/>
      <c r="AA426" s="212"/>
      <c r="AB426" s="212"/>
      <c r="AC426" s="196"/>
      <c r="AD426" s="27"/>
      <c r="AE426" s="213"/>
      <c r="AF426" s="212">
        <f t="shared" si="43"/>
        <v>1.2758982226146021E-2</v>
      </c>
      <c r="AG426" s="212"/>
      <c r="AH426" s="212"/>
      <c r="AI426" s="212"/>
      <c r="AJ426" s="212"/>
      <c r="AK426" s="212"/>
      <c r="AL426" s="212"/>
      <c r="AM426" s="212"/>
      <c r="AN426" s="212"/>
      <c r="AO426" s="212"/>
      <c r="AP426" s="196"/>
      <c r="AQ426" s="196"/>
      <c r="AR426" s="211"/>
      <c r="AS426" s="212"/>
      <c r="AT426" s="212"/>
      <c r="AU426" s="212"/>
      <c r="AW426" s="58"/>
      <c r="AX426" s="58"/>
      <c r="AY426" s="58"/>
      <c r="AZ426" s="58"/>
    </row>
    <row r="427" spans="1:52" s="185" customFormat="1" ht="15" customHeight="1" x14ac:dyDescent="0.25">
      <c r="A427" s="200"/>
      <c r="B427" s="211"/>
      <c r="C427" s="212">
        <f t="shared" si="38"/>
        <v>41.600000000000321</v>
      </c>
      <c r="D427" s="231">
        <f>15+[2]!STEPLOAD(5)</f>
        <v>20</v>
      </c>
      <c r="E427" s="212">
        <f t="shared" si="39"/>
        <v>45.667810747563735</v>
      </c>
      <c r="F427" s="212">
        <f t="shared" si="40"/>
        <v>0.5</v>
      </c>
      <c r="G427" s="212">
        <f>5</f>
        <v>5</v>
      </c>
      <c r="H427" s="212">
        <f>60</f>
        <v>60</v>
      </c>
      <c r="I427" s="212">
        <f t="shared" si="41"/>
        <v>0.9</v>
      </c>
      <c r="J427" s="212">
        <f>1</f>
        <v>1</v>
      </c>
      <c r="K427" s="212">
        <f t="shared" si="42"/>
        <v>4.1870000000000003</v>
      </c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212"/>
      <c r="Y427" s="212"/>
      <c r="Z427" s="212"/>
      <c r="AA427" s="212"/>
      <c r="AB427" s="212"/>
      <c r="AC427" s="196"/>
      <c r="AD427" s="27"/>
      <c r="AE427" s="213"/>
      <c r="AF427" s="212">
        <f t="shared" si="43"/>
        <v>1.2631392403884334E-2</v>
      </c>
      <c r="AG427" s="212"/>
      <c r="AH427" s="212"/>
      <c r="AI427" s="212"/>
      <c r="AJ427" s="212"/>
      <c r="AK427" s="212"/>
      <c r="AL427" s="212"/>
      <c r="AM427" s="212"/>
      <c r="AN427" s="212"/>
      <c r="AO427" s="212"/>
      <c r="AP427" s="196"/>
      <c r="AQ427" s="196"/>
      <c r="AR427" s="211"/>
      <c r="AS427" s="212"/>
      <c r="AT427" s="212"/>
      <c r="AU427" s="212"/>
      <c r="AW427" s="58"/>
      <c r="AX427" s="58"/>
      <c r="AY427" s="58"/>
      <c r="AZ427" s="58"/>
    </row>
    <row r="428" spans="1:52" s="185" customFormat="1" ht="15" customHeight="1" x14ac:dyDescent="0.25">
      <c r="A428" s="200"/>
      <c r="B428" s="211"/>
      <c r="C428" s="212">
        <f t="shared" si="38"/>
        <v>41.700000000000323</v>
      </c>
      <c r="D428" s="231">
        <f>15+[2]!STEPLOAD(5)</f>
        <v>20</v>
      </c>
      <c r="E428" s="212">
        <f t="shared" si="39"/>
        <v>45.669073886804121</v>
      </c>
      <c r="F428" s="212">
        <f t="shared" si="40"/>
        <v>0.5</v>
      </c>
      <c r="G428" s="212">
        <f>5</f>
        <v>5</v>
      </c>
      <c r="H428" s="212">
        <f>60</f>
        <v>60</v>
      </c>
      <c r="I428" s="212">
        <f t="shared" si="41"/>
        <v>0.9</v>
      </c>
      <c r="J428" s="212">
        <f>1</f>
        <v>1</v>
      </c>
      <c r="K428" s="212">
        <f t="shared" si="42"/>
        <v>4.1870000000000003</v>
      </c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212"/>
      <c r="Y428" s="212"/>
      <c r="Z428" s="212"/>
      <c r="AA428" s="212"/>
      <c r="AB428" s="212"/>
      <c r="AC428" s="196"/>
      <c r="AD428" s="27"/>
      <c r="AE428" s="213"/>
      <c r="AF428" s="212">
        <f t="shared" si="43"/>
        <v>1.2505078479845722E-2</v>
      </c>
      <c r="AG428" s="212"/>
      <c r="AH428" s="212"/>
      <c r="AI428" s="212"/>
      <c r="AJ428" s="212"/>
      <c r="AK428" s="212"/>
      <c r="AL428" s="212"/>
      <c r="AM428" s="212"/>
      <c r="AN428" s="212"/>
      <c r="AO428" s="212"/>
      <c r="AP428" s="196"/>
      <c r="AQ428" s="196"/>
      <c r="AR428" s="211"/>
      <c r="AS428" s="212"/>
      <c r="AT428" s="212"/>
      <c r="AU428" s="212"/>
      <c r="AW428" s="58"/>
      <c r="AX428" s="58"/>
      <c r="AY428" s="58"/>
      <c r="AZ428" s="58"/>
    </row>
    <row r="429" spans="1:52" s="185" customFormat="1" ht="15" customHeight="1" x14ac:dyDescent="0.25">
      <c r="A429" s="200"/>
      <c r="B429" s="211"/>
      <c r="C429" s="212">
        <f t="shared" si="38"/>
        <v>41.800000000000324</v>
      </c>
      <c r="D429" s="231">
        <f>15+[2]!STEPLOAD(5)</f>
        <v>20</v>
      </c>
      <c r="E429" s="212">
        <f t="shared" si="39"/>
        <v>45.670324394652106</v>
      </c>
      <c r="F429" s="212">
        <f t="shared" si="40"/>
        <v>0.5</v>
      </c>
      <c r="G429" s="212">
        <f>5</f>
        <v>5</v>
      </c>
      <c r="H429" s="212">
        <f>60</f>
        <v>60</v>
      </c>
      <c r="I429" s="212">
        <f t="shared" si="41"/>
        <v>0.9</v>
      </c>
      <c r="J429" s="212">
        <f>1</f>
        <v>1</v>
      </c>
      <c r="K429" s="212">
        <f t="shared" si="42"/>
        <v>4.1870000000000003</v>
      </c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212"/>
      <c r="Y429" s="212"/>
      <c r="Z429" s="212"/>
      <c r="AA429" s="212"/>
      <c r="AB429" s="212"/>
      <c r="AC429" s="196"/>
      <c r="AD429" s="27"/>
      <c r="AE429" s="213"/>
      <c r="AF429" s="212">
        <f t="shared" si="43"/>
        <v>1.2380027695047424E-2</v>
      </c>
      <c r="AG429" s="212"/>
      <c r="AH429" s="212"/>
      <c r="AI429" s="212"/>
      <c r="AJ429" s="212"/>
      <c r="AK429" s="212"/>
      <c r="AL429" s="212"/>
      <c r="AM429" s="212"/>
      <c r="AN429" s="212"/>
      <c r="AO429" s="212"/>
      <c r="AP429" s="196"/>
      <c r="AQ429" s="196"/>
      <c r="AR429" s="211"/>
      <c r="AS429" s="212"/>
      <c r="AT429" s="212"/>
      <c r="AU429" s="212"/>
      <c r="AW429" s="58"/>
      <c r="AX429" s="58"/>
      <c r="AY429" s="58"/>
      <c r="AZ429" s="58"/>
    </row>
    <row r="430" spans="1:52" s="185" customFormat="1" ht="15" customHeight="1" x14ac:dyDescent="0.25">
      <c r="A430" s="200"/>
      <c r="B430" s="211"/>
      <c r="C430" s="212">
        <f t="shared" si="38"/>
        <v>41.900000000000325</v>
      </c>
      <c r="D430" s="231">
        <f>15+[2]!STEPLOAD(5)</f>
        <v>20</v>
      </c>
      <c r="E430" s="212">
        <f t="shared" si="39"/>
        <v>45.67156239742161</v>
      </c>
      <c r="F430" s="212">
        <f t="shared" si="40"/>
        <v>0.5</v>
      </c>
      <c r="G430" s="212">
        <f>5</f>
        <v>5</v>
      </c>
      <c r="H430" s="212">
        <f>60</f>
        <v>60</v>
      </c>
      <c r="I430" s="212">
        <f t="shared" si="41"/>
        <v>0.9</v>
      </c>
      <c r="J430" s="212">
        <f>1</f>
        <v>1</v>
      </c>
      <c r="K430" s="212">
        <f t="shared" si="42"/>
        <v>4.1870000000000003</v>
      </c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212"/>
      <c r="Y430" s="212"/>
      <c r="Z430" s="212"/>
      <c r="AA430" s="212"/>
      <c r="AB430" s="212"/>
      <c r="AC430" s="196"/>
      <c r="AD430" s="27"/>
      <c r="AE430" s="213"/>
      <c r="AF430" s="212">
        <f t="shared" si="43"/>
        <v>1.2256227418097065E-2</v>
      </c>
      <c r="AG430" s="212"/>
      <c r="AH430" s="212"/>
      <c r="AI430" s="212"/>
      <c r="AJ430" s="212"/>
      <c r="AK430" s="212"/>
      <c r="AL430" s="212"/>
      <c r="AM430" s="212"/>
      <c r="AN430" s="212"/>
      <c r="AO430" s="212"/>
      <c r="AP430" s="196"/>
      <c r="AQ430" s="196"/>
      <c r="AR430" s="211"/>
      <c r="AS430" s="212"/>
      <c r="AT430" s="212"/>
      <c r="AU430" s="212"/>
      <c r="AW430" s="58"/>
      <c r="AX430" s="58"/>
      <c r="AY430" s="58"/>
      <c r="AZ430" s="58"/>
    </row>
    <row r="431" spans="1:52" s="185" customFormat="1" ht="15" customHeight="1" x14ac:dyDescent="0.25">
      <c r="A431" s="200"/>
      <c r="B431" s="211"/>
      <c r="C431" s="212">
        <f t="shared" si="38"/>
        <v>42.000000000000327</v>
      </c>
      <c r="D431" s="231">
        <f>15+[2]!STEPLOAD(5)</f>
        <v>20</v>
      </c>
      <c r="E431" s="212">
        <f t="shared" si="39"/>
        <v>45.672788020163416</v>
      </c>
      <c r="F431" s="212">
        <f t="shared" si="40"/>
        <v>0.5</v>
      </c>
      <c r="G431" s="212">
        <f>5</f>
        <v>5</v>
      </c>
      <c r="H431" s="212">
        <f>60</f>
        <v>60</v>
      </c>
      <c r="I431" s="212">
        <f t="shared" si="41"/>
        <v>0.9</v>
      </c>
      <c r="J431" s="212">
        <f>1</f>
        <v>1</v>
      </c>
      <c r="K431" s="212">
        <f t="shared" si="42"/>
        <v>4.1870000000000003</v>
      </c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  <c r="AA431" s="212"/>
      <c r="AB431" s="212"/>
      <c r="AC431" s="196"/>
      <c r="AD431" s="27"/>
      <c r="AE431" s="213"/>
      <c r="AF431" s="212">
        <f t="shared" si="43"/>
        <v>1.2133665143916339E-2</v>
      </c>
      <c r="AG431" s="212"/>
      <c r="AH431" s="212"/>
      <c r="AI431" s="212"/>
      <c r="AJ431" s="212"/>
      <c r="AK431" s="212"/>
      <c r="AL431" s="212"/>
      <c r="AM431" s="212"/>
      <c r="AN431" s="212"/>
      <c r="AO431" s="212"/>
      <c r="AP431" s="196"/>
      <c r="AQ431" s="196"/>
      <c r="AR431" s="211"/>
      <c r="AS431" s="212"/>
      <c r="AT431" s="212"/>
      <c r="AU431" s="212"/>
      <c r="AW431" s="58"/>
      <c r="AX431" s="58"/>
      <c r="AY431" s="58"/>
      <c r="AZ431" s="58"/>
    </row>
    <row r="432" spans="1:52" s="185" customFormat="1" ht="15" customHeight="1" x14ac:dyDescent="0.25">
      <c r="A432" s="200"/>
      <c r="B432" s="211"/>
      <c r="C432" s="212">
        <f t="shared" si="38"/>
        <v>42.100000000000328</v>
      </c>
      <c r="D432" s="231">
        <f>15+[2]!STEPLOAD(5)</f>
        <v>20</v>
      </c>
      <c r="E432" s="212">
        <f t="shared" si="39"/>
        <v>45.674001386677809</v>
      </c>
      <c r="F432" s="212">
        <f t="shared" si="40"/>
        <v>0.5</v>
      </c>
      <c r="G432" s="212">
        <f>5</f>
        <v>5</v>
      </c>
      <c r="H432" s="212">
        <f>60</f>
        <v>60</v>
      </c>
      <c r="I432" s="212">
        <f t="shared" si="41"/>
        <v>0.9</v>
      </c>
      <c r="J432" s="212">
        <f>1</f>
        <v>1</v>
      </c>
      <c r="K432" s="212">
        <f t="shared" si="42"/>
        <v>4.1870000000000003</v>
      </c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12"/>
      <c r="Z432" s="212"/>
      <c r="AA432" s="212"/>
      <c r="AB432" s="212"/>
      <c r="AC432" s="196"/>
      <c r="AD432" s="27"/>
      <c r="AE432" s="213"/>
      <c r="AF432" s="212">
        <f t="shared" si="43"/>
        <v>1.2012328492477131E-2</v>
      </c>
      <c r="AG432" s="212"/>
      <c r="AH432" s="212"/>
      <c r="AI432" s="212"/>
      <c r="AJ432" s="212"/>
      <c r="AK432" s="212"/>
      <c r="AL432" s="212"/>
      <c r="AM432" s="212"/>
      <c r="AN432" s="212"/>
      <c r="AO432" s="212"/>
      <c r="AP432" s="196"/>
      <c r="AQ432" s="196"/>
      <c r="AR432" s="211"/>
      <c r="AS432" s="212"/>
      <c r="AT432" s="212"/>
      <c r="AU432" s="212"/>
      <c r="AW432" s="58"/>
      <c r="AX432" s="58"/>
      <c r="AY432" s="58"/>
      <c r="AZ432" s="58"/>
    </row>
    <row r="433" spans="1:52" s="185" customFormat="1" ht="15" customHeight="1" x14ac:dyDescent="0.25">
      <c r="A433" s="200"/>
      <c r="B433" s="211"/>
      <c r="C433" s="212">
        <f t="shared" si="38"/>
        <v>42.20000000000033</v>
      </c>
      <c r="D433" s="231">
        <f>15+[2]!STEPLOAD(5)</f>
        <v>20</v>
      </c>
      <c r="E433" s="212">
        <f t="shared" si="39"/>
        <v>45.675202619527056</v>
      </c>
      <c r="F433" s="212">
        <f t="shared" si="40"/>
        <v>0.5</v>
      </c>
      <c r="G433" s="212">
        <f>5</f>
        <v>5</v>
      </c>
      <c r="H433" s="212">
        <f>60</f>
        <v>60</v>
      </c>
      <c r="I433" s="212">
        <f t="shared" si="41"/>
        <v>0.9</v>
      </c>
      <c r="J433" s="212">
        <f>1</f>
        <v>1</v>
      </c>
      <c r="K433" s="212">
        <f t="shared" si="42"/>
        <v>4.1870000000000003</v>
      </c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212"/>
      <c r="Y433" s="212"/>
      <c r="Z433" s="212"/>
      <c r="AA433" s="212"/>
      <c r="AB433" s="212"/>
      <c r="AC433" s="196"/>
      <c r="AD433" s="27"/>
      <c r="AE433" s="213"/>
      <c r="AF433" s="212">
        <f t="shared" si="43"/>
        <v>1.1892205207552298E-2</v>
      </c>
      <c r="AG433" s="212"/>
      <c r="AH433" s="212"/>
      <c r="AI433" s="212"/>
      <c r="AJ433" s="212"/>
      <c r="AK433" s="212"/>
      <c r="AL433" s="212"/>
      <c r="AM433" s="212"/>
      <c r="AN433" s="212"/>
      <c r="AO433" s="212"/>
      <c r="AP433" s="196"/>
      <c r="AQ433" s="196"/>
      <c r="AR433" s="211"/>
      <c r="AS433" s="212"/>
      <c r="AT433" s="212"/>
      <c r="AU433" s="212"/>
      <c r="AW433" s="58"/>
      <c r="AX433" s="58"/>
      <c r="AY433" s="58"/>
      <c r="AZ433" s="58"/>
    </row>
    <row r="434" spans="1:52" s="185" customFormat="1" ht="15" customHeight="1" x14ac:dyDescent="0.25">
      <c r="A434" s="200"/>
      <c r="B434" s="211"/>
      <c r="C434" s="212">
        <f t="shared" si="38"/>
        <v>42.300000000000331</v>
      </c>
      <c r="D434" s="231">
        <f>15+[2]!STEPLOAD(5)</f>
        <v>20</v>
      </c>
      <c r="E434" s="212">
        <f t="shared" si="39"/>
        <v>45.676391840047813</v>
      </c>
      <c r="F434" s="212">
        <f t="shared" si="40"/>
        <v>0.5</v>
      </c>
      <c r="G434" s="212">
        <f>5</f>
        <v>5</v>
      </c>
      <c r="H434" s="212">
        <f>60</f>
        <v>60</v>
      </c>
      <c r="I434" s="212">
        <f t="shared" si="41"/>
        <v>0.9</v>
      </c>
      <c r="J434" s="212">
        <f>1</f>
        <v>1</v>
      </c>
      <c r="K434" s="212">
        <f t="shared" si="42"/>
        <v>4.1870000000000003</v>
      </c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212"/>
      <c r="Y434" s="212"/>
      <c r="Z434" s="212"/>
      <c r="AA434" s="212"/>
      <c r="AB434" s="212"/>
      <c r="AC434" s="196"/>
      <c r="AD434" s="27"/>
      <c r="AE434" s="213"/>
      <c r="AF434" s="212">
        <f t="shared" si="43"/>
        <v>1.1773283155476655E-2</v>
      </c>
      <c r="AG434" s="212"/>
      <c r="AH434" s="212"/>
      <c r="AI434" s="212"/>
      <c r="AJ434" s="212"/>
      <c r="AK434" s="212"/>
      <c r="AL434" s="212"/>
      <c r="AM434" s="212"/>
      <c r="AN434" s="212"/>
      <c r="AO434" s="212"/>
      <c r="AP434" s="196"/>
      <c r="AQ434" s="196"/>
      <c r="AR434" s="211"/>
      <c r="AS434" s="212"/>
      <c r="AT434" s="212"/>
      <c r="AU434" s="212"/>
      <c r="AW434" s="58"/>
      <c r="AX434" s="58"/>
      <c r="AY434" s="58"/>
      <c r="AZ434" s="58"/>
    </row>
    <row r="435" spans="1:52" s="185" customFormat="1" ht="15" customHeight="1" x14ac:dyDescent="0.25">
      <c r="A435" s="200"/>
      <c r="B435" s="211"/>
      <c r="C435" s="212">
        <f t="shared" si="38"/>
        <v>42.400000000000333</v>
      </c>
      <c r="D435" s="231">
        <f>15+[2]!STEPLOAD(5)</f>
        <v>20</v>
      </c>
      <c r="E435" s="212">
        <f t="shared" si="39"/>
        <v>45.677569168363362</v>
      </c>
      <c r="F435" s="212">
        <f t="shared" si="40"/>
        <v>0.5</v>
      </c>
      <c r="G435" s="212">
        <f>5</f>
        <v>5</v>
      </c>
      <c r="H435" s="212">
        <f>60</f>
        <v>60</v>
      </c>
      <c r="I435" s="212">
        <f t="shared" si="41"/>
        <v>0.9</v>
      </c>
      <c r="J435" s="212">
        <f>1</f>
        <v>1</v>
      </c>
      <c r="K435" s="212">
        <f t="shared" si="42"/>
        <v>4.1870000000000003</v>
      </c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212"/>
      <c r="Y435" s="212"/>
      <c r="Z435" s="212"/>
      <c r="AA435" s="212"/>
      <c r="AB435" s="212"/>
      <c r="AC435" s="196"/>
      <c r="AD435" s="27"/>
      <c r="AE435" s="213"/>
      <c r="AF435" s="212">
        <f t="shared" si="43"/>
        <v>1.1655550323921737E-2</v>
      </c>
      <c r="AG435" s="212"/>
      <c r="AH435" s="212"/>
      <c r="AI435" s="212"/>
      <c r="AJ435" s="212"/>
      <c r="AK435" s="212"/>
      <c r="AL435" s="212"/>
      <c r="AM435" s="212"/>
      <c r="AN435" s="212"/>
      <c r="AO435" s="212"/>
      <c r="AP435" s="196"/>
      <c r="AQ435" s="196"/>
      <c r="AR435" s="211"/>
      <c r="AS435" s="212"/>
      <c r="AT435" s="212"/>
      <c r="AU435" s="212"/>
      <c r="AW435" s="58"/>
      <c r="AX435" s="58"/>
      <c r="AY435" s="58"/>
      <c r="AZ435" s="58"/>
    </row>
    <row r="436" spans="1:52" s="185" customFormat="1" ht="15" customHeight="1" x14ac:dyDescent="0.25">
      <c r="A436" s="200"/>
      <c r="B436" s="211"/>
      <c r="C436" s="212">
        <f t="shared" si="38"/>
        <v>42.500000000000334</v>
      </c>
      <c r="D436" s="231">
        <f>15+[2]!STEPLOAD(5)</f>
        <v>20</v>
      </c>
      <c r="E436" s="212">
        <f t="shared" si="39"/>
        <v>45.678734723395756</v>
      </c>
      <c r="F436" s="212">
        <f t="shared" si="40"/>
        <v>0.5</v>
      </c>
      <c r="G436" s="212">
        <f>5</f>
        <v>5</v>
      </c>
      <c r="H436" s="212">
        <f>60</f>
        <v>60</v>
      </c>
      <c r="I436" s="212">
        <f t="shared" si="41"/>
        <v>0.9</v>
      </c>
      <c r="J436" s="212">
        <f>1</f>
        <v>1</v>
      </c>
      <c r="K436" s="212">
        <f t="shared" si="42"/>
        <v>4.1870000000000003</v>
      </c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212"/>
      <c r="Y436" s="212"/>
      <c r="Z436" s="212"/>
      <c r="AA436" s="212"/>
      <c r="AB436" s="212"/>
      <c r="AC436" s="196"/>
      <c r="AD436" s="27"/>
      <c r="AE436" s="213"/>
      <c r="AF436" s="212">
        <f t="shared" si="43"/>
        <v>1.1538994820682102E-2</v>
      </c>
      <c r="AG436" s="212"/>
      <c r="AH436" s="212"/>
      <c r="AI436" s="212"/>
      <c r="AJ436" s="212"/>
      <c r="AK436" s="212"/>
      <c r="AL436" s="212"/>
      <c r="AM436" s="212"/>
      <c r="AN436" s="212"/>
      <c r="AO436" s="212"/>
      <c r="AP436" s="196"/>
      <c r="AQ436" s="196"/>
      <c r="AR436" s="211"/>
      <c r="AS436" s="212"/>
      <c r="AT436" s="212"/>
      <c r="AU436" s="212"/>
      <c r="AW436" s="58"/>
      <c r="AX436" s="58"/>
      <c r="AY436" s="58"/>
      <c r="AZ436" s="58"/>
    </row>
    <row r="437" spans="1:52" s="185" customFormat="1" ht="15" customHeight="1" x14ac:dyDescent="0.25">
      <c r="A437" s="200"/>
      <c r="B437" s="211"/>
      <c r="C437" s="212">
        <f t="shared" si="38"/>
        <v>42.600000000000335</v>
      </c>
      <c r="D437" s="231">
        <f>15+[2]!STEPLOAD(5)</f>
        <v>20</v>
      </c>
      <c r="E437" s="212">
        <f t="shared" si="39"/>
        <v>45.679888622877826</v>
      </c>
      <c r="F437" s="212">
        <f t="shared" si="40"/>
        <v>0.5</v>
      </c>
      <c r="G437" s="212">
        <f>5</f>
        <v>5</v>
      </c>
      <c r="H437" s="212">
        <f>60</f>
        <v>60</v>
      </c>
      <c r="I437" s="212">
        <f t="shared" si="41"/>
        <v>0.9</v>
      </c>
      <c r="J437" s="212">
        <f>1</f>
        <v>1</v>
      </c>
      <c r="K437" s="212">
        <f t="shared" si="42"/>
        <v>4.1870000000000003</v>
      </c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212"/>
      <c r="Y437" s="212"/>
      <c r="Z437" s="212"/>
      <c r="AA437" s="212"/>
      <c r="AB437" s="212"/>
      <c r="AC437" s="196"/>
      <c r="AD437" s="27"/>
      <c r="AE437" s="213"/>
      <c r="AF437" s="212">
        <f t="shared" si="43"/>
        <v>1.1423604872475401E-2</v>
      </c>
      <c r="AG437" s="212"/>
      <c r="AH437" s="212"/>
      <c r="AI437" s="212"/>
      <c r="AJ437" s="212"/>
      <c r="AK437" s="212"/>
      <c r="AL437" s="212"/>
      <c r="AM437" s="212"/>
      <c r="AN437" s="212"/>
      <c r="AO437" s="212"/>
      <c r="AP437" s="196"/>
      <c r="AQ437" s="196"/>
      <c r="AR437" s="211"/>
      <c r="AS437" s="212"/>
      <c r="AT437" s="212"/>
      <c r="AU437" s="212"/>
      <c r="AW437" s="58"/>
      <c r="AX437" s="58"/>
      <c r="AY437" s="58"/>
      <c r="AZ437" s="58"/>
    </row>
    <row r="438" spans="1:52" s="185" customFormat="1" ht="15" customHeight="1" x14ac:dyDescent="0.25">
      <c r="A438" s="200"/>
      <c r="B438" s="211"/>
      <c r="C438" s="212">
        <f t="shared" si="38"/>
        <v>42.700000000000337</v>
      </c>
      <c r="D438" s="231">
        <f>15+[2]!STEPLOAD(5)</f>
        <v>20</v>
      </c>
      <c r="E438" s="212">
        <f t="shared" si="39"/>
        <v>45.681030983365076</v>
      </c>
      <c r="F438" s="212">
        <f t="shared" si="40"/>
        <v>0.5</v>
      </c>
      <c r="G438" s="212">
        <f>5</f>
        <v>5</v>
      </c>
      <c r="H438" s="212">
        <f>60</f>
        <v>60</v>
      </c>
      <c r="I438" s="212">
        <f t="shared" si="41"/>
        <v>0.9</v>
      </c>
      <c r="J438" s="212">
        <f>1</f>
        <v>1</v>
      </c>
      <c r="K438" s="212">
        <f t="shared" si="42"/>
        <v>4.1870000000000003</v>
      </c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212"/>
      <c r="Y438" s="212"/>
      <c r="Z438" s="212"/>
      <c r="AA438" s="212"/>
      <c r="AB438" s="212"/>
      <c r="AC438" s="196"/>
      <c r="AD438" s="27"/>
      <c r="AE438" s="213"/>
      <c r="AF438" s="212">
        <f t="shared" si="43"/>
        <v>1.1309368823750443E-2</v>
      </c>
      <c r="AG438" s="212"/>
      <c r="AH438" s="212"/>
      <c r="AI438" s="212"/>
      <c r="AJ438" s="212"/>
      <c r="AK438" s="212"/>
      <c r="AL438" s="212"/>
      <c r="AM438" s="212"/>
      <c r="AN438" s="212"/>
      <c r="AO438" s="212"/>
      <c r="AP438" s="196"/>
      <c r="AQ438" s="196"/>
      <c r="AR438" s="211"/>
      <c r="AS438" s="212"/>
      <c r="AT438" s="212"/>
      <c r="AU438" s="212"/>
      <c r="AW438" s="58"/>
      <c r="AX438" s="58"/>
      <c r="AY438" s="58"/>
      <c r="AZ438" s="58"/>
    </row>
    <row r="439" spans="1:52" s="185" customFormat="1" ht="15" customHeight="1" x14ac:dyDescent="0.25">
      <c r="A439" s="200"/>
      <c r="B439" s="211"/>
      <c r="C439" s="212">
        <f t="shared" si="38"/>
        <v>42.800000000000338</v>
      </c>
      <c r="D439" s="231">
        <f>15+[2]!STEPLOAD(5)</f>
        <v>20</v>
      </c>
      <c r="E439" s="212">
        <f t="shared" si="39"/>
        <v>45.682161920247452</v>
      </c>
      <c r="F439" s="212">
        <f t="shared" si="40"/>
        <v>0.5</v>
      </c>
      <c r="G439" s="212">
        <f>5</f>
        <v>5</v>
      </c>
      <c r="H439" s="212">
        <f>60</f>
        <v>60</v>
      </c>
      <c r="I439" s="212">
        <f t="shared" si="41"/>
        <v>0.9</v>
      </c>
      <c r="J439" s="212">
        <f>1</f>
        <v>1</v>
      </c>
      <c r="K439" s="212">
        <f t="shared" si="42"/>
        <v>4.1870000000000003</v>
      </c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212"/>
      <c r="Y439" s="212"/>
      <c r="Z439" s="212"/>
      <c r="AA439" s="212"/>
      <c r="AB439" s="212"/>
      <c r="AC439" s="196"/>
      <c r="AD439" s="27"/>
      <c r="AE439" s="213"/>
      <c r="AF439" s="212">
        <f t="shared" si="43"/>
        <v>1.1196275135512579E-2</v>
      </c>
      <c r="AG439" s="212"/>
      <c r="AH439" s="212"/>
      <c r="AI439" s="212"/>
      <c r="AJ439" s="212"/>
      <c r="AK439" s="212"/>
      <c r="AL439" s="212"/>
      <c r="AM439" s="212"/>
      <c r="AN439" s="212"/>
      <c r="AO439" s="212"/>
      <c r="AP439" s="196"/>
      <c r="AQ439" s="196"/>
      <c r="AR439" s="211"/>
      <c r="AS439" s="212"/>
      <c r="AT439" s="212"/>
      <c r="AU439" s="212"/>
      <c r="AW439" s="58"/>
      <c r="AX439" s="58"/>
      <c r="AY439" s="58"/>
      <c r="AZ439" s="58"/>
    </row>
    <row r="440" spans="1:52" s="185" customFormat="1" ht="15" customHeight="1" x14ac:dyDescent="0.25">
      <c r="A440" s="200"/>
      <c r="B440" s="211"/>
      <c r="C440" s="212">
        <f t="shared" si="38"/>
        <v>42.90000000000034</v>
      </c>
      <c r="D440" s="231">
        <f>15+[2]!STEPLOAD(5)</f>
        <v>20</v>
      </c>
      <c r="E440" s="212">
        <f t="shared" si="39"/>
        <v>45.683281547761005</v>
      </c>
      <c r="F440" s="212">
        <f t="shared" si="40"/>
        <v>0.5</v>
      </c>
      <c r="G440" s="212">
        <f>5</f>
        <v>5</v>
      </c>
      <c r="H440" s="212">
        <f>60</f>
        <v>60</v>
      </c>
      <c r="I440" s="212">
        <f t="shared" si="41"/>
        <v>0.9</v>
      </c>
      <c r="J440" s="212">
        <f>1</f>
        <v>1</v>
      </c>
      <c r="K440" s="212">
        <f t="shared" si="42"/>
        <v>4.1870000000000003</v>
      </c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212"/>
      <c r="Y440" s="212"/>
      <c r="Z440" s="212"/>
      <c r="AA440" s="212"/>
      <c r="AB440" s="212"/>
      <c r="AC440" s="196"/>
      <c r="AD440" s="27"/>
      <c r="AE440" s="213"/>
      <c r="AF440" s="212">
        <f t="shared" si="43"/>
        <v>1.1084312384157524E-2</v>
      </c>
      <c r="AG440" s="212"/>
      <c r="AH440" s="212"/>
      <c r="AI440" s="212"/>
      <c r="AJ440" s="212"/>
      <c r="AK440" s="212"/>
      <c r="AL440" s="212"/>
      <c r="AM440" s="212"/>
      <c r="AN440" s="212"/>
      <c r="AO440" s="212"/>
      <c r="AP440" s="196"/>
      <c r="AQ440" s="196"/>
      <c r="AR440" s="211"/>
      <c r="AS440" s="212"/>
      <c r="AT440" s="212"/>
      <c r="AU440" s="212"/>
      <c r="AW440" s="58"/>
      <c r="AX440" s="58"/>
      <c r="AY440" s="58"/>
      <c r="AZ440" s="58"/>
    </row>
    <row r="441" spans="1:52" s="185" customFormat="1" ht="15" customHeight="1" x14ac:dyDescent="0.25">
      <c r="A441" s="200"/>
      <c r="B441" s="211"/>
      <c r="C441" s="212">
        <f t="shared" si="38"/>
        <v>43.000000000000341</v>
      </c>
      <c r="D441" s="231">
        <f>15+[2]!STEPLOAD(5)</f>
        <v>20</v>
      </c>
      <c r="E441" s="212">
        <f t="shared" si="39"/>
        <v>45.68438997899942</v>
      </c>
      <c r="F441" s="212">
        <f t="shared" si="40"/>
        <v>0.5</v>
      </c>
      <c r="G441" s="212">
        <f>5</f>
        <v>5</v>
      </c>
      <c r="H441" s="212">
        <f>60</f>
        <v>60</v>
      </c>
      <c r="I441" s="212">
        <f t="shared" si="41"/>
        <v>0.9</v>
      </c>
      <c r="J441" s="212">
        <f>1</f>
        <v>1</v>
      </c>
      <c r="K441" s="212">
        <f t="shared" si="42"/>
        <v>4.1870000000000003</v>
      </c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212"/>
      <c r="Y441" s="212"/>
      <c r="Z441" s="212"/>
      <c r="AA441" s="212"/>
      <c r="AB441" s="212"/>
      <c r="AC441" s="196"/>
      <c r="AD441" s="27"/>
      <c r="AE441" s="213"/>
      <c r="AF441" s="212">
        <f t="shared" si="43"/>
        <v>1.0973469260315838E-2</v>
      </c>
      <c r="AG441" s="212"/>
      <c r="AH441" s="212"/>
      <c r="AI441" s="212"/>
      <c r="AJ441" s="212"/>
      <c r="AK441" s="212"/>
      <c r="AL441" s="212"/>
      <c r="AM441" s="212"/>
      <c r="AN441" s="212"/>
      <c r="AO441" s="212"/>
      <c r="AP441" s="196"/>
      <c r="AQ441" s="196"/>
      <c r="AR441" s="211"/>
      <c r="AS441" s="212"/>
      <c r="AT441" s="212"/>
      <c r="AU441" s="212"/>
      <c r="AW441" s="58"/>
      <c r="AX441" s="58"/>
      <c r="AY441" s="58"/>
      <c r="AZ441" s="58"/>
    </row>
    <row r="442" spans="1:52" s="185" customFormat="1" ht="15" customHeight="1" x14ac:dyDescent="0.25">
      <c r="A442" s="200"/>
      <c r="B442" s="211"/>
      <c r="C442" s="212">
        <f t="shared" si="38"/>
        <v>43.100000000000342</v>
      </c>
      <c r="D442" s="231">
        <f>15+[2]!STEPLOAD(5)</f>
        <v>20</v>
      </c>
      <c r="E442" s="212">
        <f t="shared" si="39"/>
        <v>45.68548732592545</v>
      </c>
      <c r="F442" s="212">
        <f t="shared" si="40"/>
        <v>0.5</v>
      </c>
      <c r="G442" s="212">
        <f>5</f>
        <v>5</v>
      </c>
      <c r="H442" s="212">
        <f>60</f>
        <v>60</v>
      </c>
      <c r="I442" s="212">
        <f t="shared" si="41"/>
        <v>0.9</v>
      </c>
      <c r="J442" s="212">
        <f>1</f>
        <v>1</v>
      </c>
      <c r="K442" s="212">
        <f t="shared" si="42"/>
        <v>4.1870000000000003</v>
      </c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212"/>
      <c r="Y442" s="212"/>
      <c r="Z442" s="212"/>
      <c r="AA442" s="212"/>
      <c r="AB442" s="212"/>
      <c r="AC442" s="196"/>
      <c r="AD442" s="27"/>
      <c r="AE442" s="213"/>
      <c r="AF442" s="212">
        <f t="shared" si="43"/>
        <v>1.0863734567712946E-2</v>
      </c>
      <c r="AG442" s="212"/>
      <c r="AH442" s="212"/>
      <c r="AI442" s="212"/>
      <c r="AJ442" s="212"/>
      <c r="AK442" s="212"/>
      <c r="AL442" s="212"/>
      <c r="AM442" s="212"/>
      <c r="AN442" s="212"/>
      <c r="AO442" s="212"/>
      <c r="AP442" s="196"/>
      <c r="AQ442" s="196"/>
      <c r="AR442" s="211"/>
      <c r="AS442" s="212"/>
      <c r="AT442" s="212"/>
      <c r="AU442" s="212"/>
      <c r="AW442" s="58"/>
      <c r="AX442" s="58"/>
      <c r="AY442" s="58"/>
      <c r="AZ442" s="58"/>
    </row>
    <row r="443" spans="1:52" s="185" customFormat="1" ht="15" customHeight="1" x14ac:dyDescent="0.25">
      <c r="A443" s="200"/>
      <c r="B443" s="211"/>
      <c r="C443" s="212">
        <f t="shared" si="38"/>
        <v>43.200000000000344</v>
      </c>
      <c r="D443" s="231">
        <f>15+[2]!STEPLOAD(5)</f>
        <v>20</v>
      </c>
      <c r="E443" s="212">
        <f t="shared" si="39"/>
        <v>45.686573699382222</v>
      </c>
      <c r="F443" s="212">
        <f t="shared" si="40"/>
        <v>0.5</v>
      </c>
      <c r="G443" s="212">
        <f>5</f>
        <v>5</v>
      </c>
      <c r="H443" s="212">
        <f>60</f>
        <v>60</v>
      </c>
      <c r="I443" s="212">
        <f t="shared" si="41"/>
        <v>0.9</v>
      </c>
      <c r="J443" s="212">
        <f>1</f>
        <v>1</v>
      </c>
      <c r="K443" s="212">
        <f t="shared" si="42"/>
        <v>4.1870000000000003</v>
      </c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212"/>
      <c r="Y443" s="212"/>
      <c r="Z443" s="212"/>
      <c r="AA443" s="212"/>
      <c r="AB443" s="212"/>
      <c r="AC443" s="196"/>
      <c r="AD443" s="27"/>
      <c r="AE443" s="213"/>
      <c r="AF443" s="212">
        <f t="shared" si="43"/>
        <v>1.0755097222035825E-2</v>
      </c>
      <c r="AG443" s="212"/>
      <c r="AH443" s="212"/>
      <c r="AI443" s="212"/>
      <c r="AJ443" s="212"/>
      <c r="AK443" s="212"/>
      <c r="AL443" s="212"/>
      <c r="AM443" s="212"/>
      <c r="AN443" s="212"/>
      <c r="AO443" s="212"/>
      <c r="AP443" s="196"/>
      <c r="AQ443" s="196"/>
      <c r="AR443" s="211"/>
      <c r="AS443" s="212"/>
      <c r="AT443" s="212"/>
      <c r="AU443" s="212"/>
      <c r="AW443" s="58"/>
      <c r="AX443" s="58"/>
      <c r="AY443" s="58"/>
      <c r="AZ443" s="58"/>
    </row>
    <row r="444" spans="1:52" s="185" customFormat="1" ht="15" customHeight="1" x14ac:dyDescent="0.25">
      <c r="A444" s="200"/>
      <c r="B444" s="211"/>
      <c r="C444" s="212">
        <f t="shared" si="38"/>
        <v>43.300000000000345</v>
      </c>
      <c r="D444" s="231">
        <f>15+[2]!STEPLOAD(5)</f>
        <v>20</v>
      </c>
      <c r="E444" s="212">
        <f t="shared" si="39"/>
        <v>45.687649209104428</v>
      </c>
      <c r="F444" s="212">
        <f t="shared" si="40"/>
        <v>0.5</v>
      </c>
      <c r="G444" s="212">
        <f>5</f>
        <v>5</v>
      </c>
      <c r="H444" s="212">
        <f>60</f>
        <v>60</v>
      </c>
      <c r="I444" s="212">
        <f t="shared" si="41"/>
        <v>0.9</v>
      </c>
      <c r="J444" s="212">
        <f>1</f>
        <v>1</v>
      </c>
      <c r="K444" s="212">
        <f t="shared" si="42"/>
        <v>4.1870000000000003</v>
      </c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  <c r="AA444" s="212"/>
      <c r="AB444" s="212"/>
      <c r="AC444" s="196"/>
      <c r="AD444" s="27"/>
      <c r="AE444" s="213"/>
      <c r="AF444" s="212">
        <f t="shared" si="43"/>
        <v>1.0647546249815232E-2</v>
      </c>
      <c r="AG444" s="212"/>
      <c r="AH444" s="212"/>
      <c r="AI444" s="212"/>
      <c r="AJ444" s="212"/>
      <c r="AK444" s="212"/>
      <c r="AL444" s="212"/>
      <c r="AM444" s="212"/>
      <c r="AN444" s="212"/>
      <c r="AO444" s="212"/>
      <c r="AP444" s="196"/>
      <c r="AQ444" s="196"/>
      <c r="AR444" s="211"/>
      <c r="AS444" s="212"/>
      <c r="AT444" s="212"/>
      <c r="AU444" s="212"/>
      <c r="AW444" s="58"/>
      <c r="AX444" s="58"/>
      <c r="AY444" s="58"/>
      <c r="AZ444" s="58"/>
    </row>
    <row r="445" spans="1:52" s="185" customFormat="1" ht="15" customHeight="1" x14ac:dyDescent="0.25">
      <c r="A445" s="200"/>
      <c r="B445" s="211"/>
      <c r="C445" s="212">
        <f t="shared" si="38"/>
        <v>43.400000000000347</v>
      </c>
      <c r="D445" s="231">
        <f>15+[2]!STEPLOAD(5)</f>
        <v>20</v>
      </c>
      <c r="E445" s="212">
        <f t="shared" si="39"/>
        <v>45.688713963729413</v>
      </c>
      <c r="F445" s="212">
        <f t="shared" si="40"/>
        <v>0.5</v>
      </c>
      <c r="G445" s="212">
        <f>5</f>
        <v>5</v>
      </c>
      <c r="H445" s="212">
        <f>60</f>
        <v>60</v>
      </c>
      <c r="I445" s="212">
        <f t="shared" si="41"/>
        <v>0.9</v>
      </c>
      <c r="J445" s="212">
        <f>1</f>
        <v>1</v>
      </c>
      <c r="K445" s="212">
        <f t="shared" si="42"/>
        <v>4.1870000000000003</v>
      </c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212"/>
      <c r="Y445" s="212"/>
      <c r="Z445" s="212"/>
      <c r="AA445" s="212"/>
      <c r="AB445" s="212"/>
      <c r="AC445" s="196"/>
      <c r="AD445" s="27"/>
      <c r="AE445" s="213"/>
      <c r="AF445" s="212">
        <f t="shared" si="43"/>
        <v>1.0541070787316809E-2</v>
      </c>
      <c r="AG445" s="212"/>
      <c r="AH445" s="212"/>
      <c r="AI445" s="212"/>
      <c r="AJ445" s="212"/>
      <c r="AK445" s="212"/>
      <c r="AL445" s="212"/>
      <c r="AM445" s="212"/>
      <c r="AN445" s="212"/>
      <c r="AO445" s="212"/>
      <c r="AP445" s="196"/>
      <c r="AQ445" s="196"/>
      <c r="AR445" s="211"/>
      <c r="AS445" s="212"/>
      <c r="AT445" s="212"/>
      <c r="AU445" s="212"/>
      <c r="AW445" s="58"/>
      <c r="AX445" s="58"/>
      <c r="AY445" s="58"/>
      <c r="AZ445" s="58"/>
    </row>
    <row r="446" spans="1:52" s="185" customFormat="1" ht="15" customHeight="1" x14ac:dyDescent="0.25">
      <c r="A446" s="200"/>
      <c r="B446" s="211"/>
      <c r="C446" s="212">
        <f t="shared" si="38"/>
        <v>43.500000000000348</v>
      </c>
      <c r="D446" s="231">
        <f>15+[2]!STEPLOAD(5)</f>
        <v>20</v>
      </c>
      <c r="E446" s="212">
        <f t="shared" si="39"/>
        <v>45.689768070808142</v>
      </c>
      <c r="F446" s="212">
        <f t="shared" si="40"/>
        <v>0.5</v>
      </c>
      <c r="G446" s="212">
        <f>5</f>
        <v>5</v>
      </c>
      <c r="H446" s="212">
        <f>60</f>
        <v>60</v>
      </c>
      <c r="I446" s="212">
        <f t="shared" si="41"/>
        <v>0.9</v>
      </c>
      <c r="J446" s="212">
        <f>1</f>
        <v>1</v>
      </c>
      <c r="K446" s="212">
        <f t="shared" si="42"/>
        <v>4.1870000000000003</v>
      </c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212"/>
      <c r="Y446" s="212"/>
      <c r="Z446" s="212"/>
      <c r="AA446" s="212"/>
      <c r="AB446" s="212"/>
      <c r="AC446" s="196"/>
      <c r="AD446" s="27"/>
      <c r="AE446" s="213"/>
      <c r="AF446" s="212">
        <f t="shared" si="43"/>
        <v>1.0435660079443743E-2</v>
      </c>
      <c r="AG446" s="212"/>
      <c r="AH446" s="212"/>
      <c r="AI446" s="212"/>
      <c r="AJ446" s="212"/>
      <c r="AK446" s="212"/>
      <c r="AL446" s="212"/>
      <c r="AM446" s="212"/>
      <c r="AN446" s="212"/>
      <c r="AO446" s="212"/>
      <c r="AP446" s="196"/>
      <c r="AQ446" s="196"/>
      <c r="AR446" s="211"/>
      <c r="AS446" s="212"/>
      <c r="AT446" s="212"/>
      <c r="AU446" s="212"/>
      <c r="AW446" s="58"/>
      <c r="AX446" s="58"/>
      <c r="AY446" s="58"/>
      <c r="AZ446" s="58"/>
    </row>
    <row r="447" spans="1:52" s="185" customFormat="1" ht="15" customHeight="1" x14ac:dyDescent="0.25">
      <c r="A447" s="200"/>
      <c r="B447" s="211"/>
      <c r="C447" s="212">
        <f t="shared" si="38"/>
        <v>43.60000000000035</v>
      </c>
      <c r="D447" s="231">
        <f>15+[2]!STEPLOAD(5)</f>
        <v>20</v>
      </c>
      <c r="E447" s="212">
        <f t="shared" si="39"/>
        <v>45.690811636816086</v>
      </c>
      <c r="F447" s="212">
        <f t="shared" si="40"/>
        <v>0.5</v>
      </c>
      <c r="G447" s="212">
        <f>5</f>
        <v>5</v>
      </c>
      <c r="H447" s="212">
        <f>60</f>
        <v>60</v>
      </c>
      <c r="I447" s="212">
        <f t="shared" si="41"/>
        <v>0.9</v>
      </c>
      <c r="J447" s="212">
        <f>1</f>
        <v>1</v>
      </c>
      <c r="K447" s="212">
        <f t="shared" si="42"/>
        <v>4.1870000000000003</v>
      </c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212"/>
      <c r="Y447" s="212"/>
      <c r="Z447" s="212"/>
      <c r="AA447" s="212"/>
      <c r="AB447" s="212"/>
      <c r="AC447" s="196"/>
      <c r="AD447" s="27"/>
      <c r="AE447" s="213"/>
      <c r="AF447" s="212">
        <f t="shared" si="43"/>
        <v>1.033130347864919E-2</v>
      </c>
      <c r="AG447" s="212"/>
      <c r="AH447" s="212"/>
      <c r="AI447" s="212"/>
      <c r="AJ447" s="212"/>
      <c r="AK447" s="212"/>
      <c r="AL447" s="212"/>
      <c r="AM447" s="212"/>
      <c r="AN447" s="212"/>
      <c r="AO447" s="212"/>
      <c r="AP447" s="196"/>
      <c r="AQ447" s="196"/>
      <c r="AR447" s="211"/>
      <c r="AS447" s="212"/>
      <c r="AT447" s="212"/>
      <c r="AU447" s="212"/>
      <c r="AW447" s="58"/>
      <c r="AX447" s="58"/>
      <c r="AY447" s="58"/>
      <c r="AZ447" s="58"/>
    </row>
    <row r="448" spans="1:52" s="185" customFormat="1" ht="15" customHeight="1" x14ac:dyDescent="0.25">
      <c r="A448" s="200"/>
      <c r="B448" s="211"/>
      <c r="C448" s="212">
        <f t="shared" si="38"/>
        <v>43.700000000000351</v>
      </c>
      <c r="D448" s="231">
        <f>15+[2]!STEPLOAD(5)</f>
        <v>20</v>
      </c>
      <c r="E448" s="212">
        <f t="shared" si="39"/>
        <v>45.69184476716395</v>
      </c>
      <c r="F448" s="212">
        <f t="shared" si="40"/>
        <v>0.5</v>
      </c>
      <c r="G448" s="212">
        <f>5</f>
        <v>5</v>
      </c>
      <c r="H448" s="212">
        <f>60</f>
        <v>60</v>
      </c>
      <c r="I448" s="212">
        <f t="shared" si="41"/>
        <v>0.9</v>
      </c>
      <c r="J448" s="212">
        <f>1</f>
        <v>1</v>
      </c>
      <c r="K448" s="212">
        <f t="shared" si="42"/>
        <v>4.1870000000000003</v>
      </c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212"/>
      <c r="Y448" s="212"/>
      <c r="Z448" s="212"/>
      <c r="AA448" s="212"/>
      <c r="AB448" s="212"/>
      <c r="AC448" s="196"/>
      <c r="AD448" s="27"/>
      <c r="AE448" s="213"/>
      <c r="AF448" s="212">
        <f t="shared" si="43"/>
        <v>1.0227990443862911E-2</v>
      </c>
      <c r="AG448" s="212"/>
      <c r="AH448" s="212"/>
      <c r="AI448" s="212"/>
      <c r="AJ448" s="212"/>
      <c r="AK448" s="212"/>
      <c r="AL448" s="212"/>
      <c r="AM448" s="212"/>
      <c r="AN448" s="212"/>
      <c r="AO448" s="212"/>
      <c r="AP448" s="196"/>
      <c r="AQ448" s="196"/>
      <c r="AR448" s="211"/>
      <c r="AS448" s="212"/>
      <c r="AT448" s="212"/>
      <c r="AU448" s="212"/>
      <c r="AW448" s="58"/>
      <c r="AX448" s="58"/>
      <c r="AY448" s="58"/>
      <c r="AZ448" s="58"/>
    </row>
    <row r="449" spans="1:52" s="185" customFormat="1" ht="15" customHeight="1" x14ac:dyDescent="0.25">
      <c r="A449" s="200"/>
      <c r="B449" s="211"/>
      <c r="C449" s="212">
        <f t="shared" si="38"/>
        <v>43.800000000000352</v>
      </c>
      <c r="D449" s="231">
        <f>15+[2]!STEPLOAD(5)</f>
        <v>20</v>
      </c>
      <c r="E449" s="212">
        <f t="shared" si="39"/>
        <v>45.692867566208335</v>
      </c>
      <c r="F449" s="212">
        <f t="shared" si="40"/>
        <v>0.5</v>
      </c>
      <c r="G449" s="212">
        <f>5</f>
        <v>5</v>
      </c>
      <c r="H449" s="212">
        <f>60</f>
        <v>60</v>
      </c>
      <c r="I449" s="212">
        <f t="shared" si="41"/>
        <v>0.9</v>
      </c>
      <c r="J449" s="212">
        <f>1</f>
        <v>1</v>
      </c>
      <c r="K449" s="212">
        <f t="shared" si="42"/>
        <v>4.1870000000000003</v>
      </c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212"/>
      <c r="Y449" s="212"/>
      <c r="Z449" s="212"/>
      <c r="AA449" s="212"/>
      <c r="AB449" s="212"/>
      <c r="AC449" s="196"/>
      <c r="AD449" s="27"/>
      <c r="AE449" s="213"/>
      <c r="AF449" s="212">
        <f t="shared" si="43"/>
        <v>1.0125710539424571E-2</v>
      </c>
      <c r="AG449" s="212"/>
      <c r="AH449" s="212"/>
      <c r="AI449" s="212"/>
      <c r="AJ449" s="212"/>
      <c r="AK449" s="212"/>
      <c r="AL449" s="212"/>
      <c r="AM449" s="212"/>
      <c r="AN449" s="212"/>
      <c r="AO449" s="212"/>
      <c r="AP449" s="196"/>
      <c r="AQ449" s="196"/>
      <c r="AR449" s="211"/>
      <c r="AS449" s="212"/>
      <c r="AT449" s="212"/>
      <c r="AU449" s="212"/>
      <c r="AW449" s="58"/>
      <c r="AX449" s="58"/>
      <c r="AY449" s="58"/>
      <c r="AZ449" s="58"/>
    </row>
    <row r="450" spans="1:52" s="185" customFormat="1" ht="15" customHeight="1" x14ac:dyDescent="0.25">
      <c r="A450" s="200"/>
      <c r="B450" s="211"/>
      <c r="C450" s="212">
        <f t="shared" si="38"/>
        <v>43.900000000000354</v>
      </c>
      <c r="D450" s="231">
        <f>15+[2]!STEPLOAD(5)</f>
        <v>20</v>
      </c>
      <c r="E450" s="212">
        <f t="shared" si="39"/>
        <v>45.693880137262276</v>
      </c>
      <c r="F450" s="212">
        <f t="shared" si="40"/>
        <v>0.5</v>
      </c>
      <c r="G450" s="212">
        <f>5</f>
        <v>5</v>
      </c>
      <c r="H450" s="212">
        <f>60</f>
        <v>60</v>
      </c>
      <c r="I450" s="212">
        <f t="shared" si="41"/>
        <v>0.9</v>
      </c>
      <c r="J450" s="212">
        <f>1</f>
        <v>1</v>
      </c>
      <c r="K450" s="212">
        <f t="shared" si="42"/>
        <v>4.1870000000000003</v>
      </c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212"/>
      <c r="Y450" s="212"/>
      <c r="Z450" s="212"/>
      <c r="AA450" s="212"/>
      <c r="AB450" s="212"/>
      <c r="AC450" s="196"/>
      <c r="AD450" s="27"/>
      <c r="AE450" s="213"/>
      <c r="AF450" s="212">
        <f t="shared" si="43"/>
        <v>1.0024453434030356E-2</v>
      </c>
      <c r="AG450" s="212"/>
      <c r="AH450" s="212"/>
      <c r="AI450" s="212"/>
      <c r="AJ450" s="212"/>
      <c r="AK450" s="212"/>
      <c r="AL450" s="212"/>
      <c r="AM450" s="212"/>
      <c r="AN450" s="212"/>
      <c r="AO450" s="212"/>
      <c r="AP450" s="196"/>
      <c r="AQ450" s="196"/>
      <c r="AR450" s="211"/>
      <c r="AS450" s="212"/>
      <c r="AT450" s="212"/>
      <c r="AU450" s="212"/>
      <c r="AW450" s="58"/>
      <c r="AX450" s="58"/>
      <c r="AY450" s="58"/>
      <c r="AZ450" s="58"/>
    </row>
    <row r="451" spans="1:52" s="185" customFormat="1" ht="15" customHeight="1" x14ac:dyDescent="0.25">
      <c r="A451" s="200"/>
      <c r="B451" s="211"/>
      <c r="C451" s="212">
        <f t="shared" si="38"/>
        <v>44.000000000000355</v>
      </c>
      <c r="D451" s="231">
        <f>15+[2]!STEPLOAD(5)</f>
        <v>20</v>
      </c>
      <c r="E451" s="212">
        <f t="shared" si="39"/>
        <v>45.694882582605679</v>
      </c>
      <c r="F451" s="212">
        <f t="shared" si="40"/>
        <v>0.5</v>
      </c>
      <c r="G451" s="212">
        <f>5</f>
        <v>5</v>
      </c>
      <c r="H451" s="212">
        <f>60</f>
        <v>60</v>
      </c>
      <c r="I451" s="212">
        <f t="shared" si="41"/>
        <v>0.9</v>
      </c>
      <c r="J451" s="212">
        <f>1</f>
        <v>1</v>
      </c>
      <c r="K451" s="212">
        <f t="shared" si="42"/>
        <v>4.1870000000000003</v>
      </c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212"/>
      <c r="Y451" s="212"/>
      <c r="Z451" s="212"/>
      <c r="AA451" s="212"/>
      <c r="AB451" s="212"/>
      <c r="AC451" s="196"/>
      <c r="AD451" s="27"/>
      <c r="AE451" s="213"/>
      <c r="AF451" s="212">
        <f t="shared" si="43"/>
        <v>9.9242088996898126E-3</v>
      </c>
      <c r="AG451" s="212"/>
      <c r="AH451" s="212"/>
      <c r="AI451" s="212"/>
      <c r="AJ451" s="212"/>
      <c r="AK451" s="212"/>
      <c r="AL451" s="212"/>
      <c r="AM451" s="212"/>
      <c r="AN451" s="212"/>
      <c r="AO451" s="212"/>
      <c r="AP451" s="196"/>
      <c r="AQ451" s="196"/>
      <c r="AR451" s="211"/>
      <c r="AS451" s="212"/>
      <c r="AT451" s="212"/>
      <c r="AU451" s="212"/>
      <c r="AW451" s="58"/>
      <c r="AX451" s="58"/>
      <c r="AY451" s="58"/>
      <c r="AZ451" s="58"/>
    </row>
    <row r="452" spans="1:52" s="185" customFormat="1" ht="15" customHeight="1" x14ac:dyDescent="0.25">
      <c r="A452" s="200"/>
      <c r="B452" s="211"/>
      <c r="C452" s="212">
        <f t="shared" si="38"/>
        <v>44.100000000000357</v>
      </c>
      <c r="D452" s="231">
        <f>15+[2]!STEPLOAD(5)</f>
        <v>20</v>
      </c>
      <c r="E452" s="212">
        <f t="shared" si="39"/>
        <v>45.695875003495651</v>
      </c>
      <c r="F452" s="212">
        <f t="shared" si="40"/>
        <v>0.5</v>
      </c>
      <c r="G452" s="212">
        <f>5</f>
        <v>5</v>
      </c>
      <c r="H452" s="212">
        <f>60</f>
        <v>60</v>
      </c>
      <c r="I452" s="212">
        <f t="shared" si="41"/>
        <v>0.9</v>
      </c>
      <c r="J452" s="212">
        <f>1</f>
        <v>1</v>
      </c>
      <c r="K452" s="212">
        <f t="shared" si="42"/>
        <v>4.1870000000000003</v>
      </c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212"/>
      <c r="Y452" s="212"/>
      <c r="Z452" s="212"/>
      <c r="AA452" s="212"/>
      <c r="AB452" s="212"/>
      <c r="AC452" s="196"/>
      <c r="AD452" s="27"/>
      <c r="AE452" s="213"/>
      <c r="AF452" s="212">
        <f t="shared" si="43"/>
        <v>9.8249668106928922E-3</v>
      </c>
      <c r="AG452" s="212"/>
      <c r="AH452" s="212"/>
      <c r="AI452" s="212"/>
      <c r="AJ452" s="212"/>
      <c r="AK452" s="212"/>
      <c r="AL452" s="212"/>
      <c r="AM452" s="212"/>
      <c r="AN452" s="212"/>
      <c r="AO452" s="212"/>
      <c r="AP452" s="196"/>
      <c r="AQ452" s="196"/>
      <c r="AR452" s="211"/>
      <c r="AS452" s="212"/>
      <c r="AT452" s="212"/>
      <c r="AU452" s="212"/>
      <c r="AW452" s="58"/>
      <c r="AX452" s="58"/>
      <c r="AY452" s="58"/>
      <c r="AZ452" s="58"/>
    </row>
    <row r="453" spans="1:52" s="185" customFormat="1" ht="15" customHeight="1" x14ac:dyDescent="0.25">
      <c r="A453" s="200"/>
      <c r="B453" s="211"/>
      <c r="C453" s="212">
        <f t="shared" si="38"/>
        <v>44.200000000000358</v>
      </c>
      <c r="D453" s="231">
        <f>15+[2]!STEPLOAD(5)</f>
        <v>20</v>
      </c>
      <c r="E453" s="212">
        <f t="shared" si="39"/>
        <v>45.696857500176719</v>
      </c>
      <c r="F453" s="212">
        <f t="shared" si="40"/>
        <v>0.5</v>
      </c>
      <c r="G453" s="212">
        <f>5</f>
        <v>5</v>
      </c>
      <c r="H453" s="212">
        <f>60</f>
        <v>60</v>
      </c>
      <c r="I453" s="212">
        <f t="shared" si="41"/>
        <v>0.9</v>
      </c>
      <c r="J453" s="212">
        <f>1</f>
        <v>1</v>
      </c>
      <c r="K453" s="212">
        <f t="shared" si="42"/>
        <v>4.1870000000000003</v>
      </c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212"/>
      <c r="Y453" s="212"/>
      <c r="Z453" s="212"/>
      <c r="AA453" s="212"/>
      <c r="AB453" s="212"/>
      <c r="AC453" s="196"/>
      <c r="AD453" s="27"/>
      <c r="AE453" s="213"/>
      <c r="AF453" s="212">
        <f t="shared" si="43"/>
        <v>9.7267171425858834E-3</v>
      </c>
      <c r="AG453" s="212"/>
      <c r="AH453" s="212"/>
      <c r="AI453" s="212"/>
      <c r="AJ453" s="212"/>
      <c r="AK453" s="212"/>
      <c r="AL453" s="212"/>
      <c r="AM453" s="212"/>
      <c r="AN453" s="212"/>
      <c r="AO453" s="212"/>
      <c r="AP453" s="196"/>
      <c r="AQ453" s="196"/>
      <c r="AR453" s="211"/>
      <c r="AS453" s="212"/>
      <c r="AT453" s="212"/>
      <c r="AU453" s="212"/>
      <c r="AW453" s="58"/>
      <c r="AX453" s="58"/>
      <c r="AY453" s="58"/>
      <c r="AZ453" s="58"/>
    </row>
    <row r="454" spans="1:52" s="185" customFormat="1" ht="15" customHeight="1" x14ac:dyDescent="0.25">
      <c r="A454" s="200"/>
      <c r="B454" s="211"/>
      <c r="C454" s="212">
        <f t="shared" si="38"/>
        <v>44.30000000000036</v>
      </c>
      <c r="D454" s="231">
        <f>15+[2]!STEPLOAD(5)</f>
        <v>20</v>
      </c>
      <c r="E454" s="212">
        <f t="shared" si="39"/>
        <v>45.697830171890978</v>
      </c>
      <c r="F454" s="212">
        <f t="shared" si="40"/>
        <v>0.5</v>
      </c>
      <c r="G454" s="212">
        <f>5</f>
        <v>5</v>
      </c>
      <c r="H454" s="212">
        <f>60</f>
        <v>60</v>
      </c>
      <c r="I454" s="212">
        <f t="shared" si="41"/>
        <v>0.9</v>
      </c>
      <c r="J454" s="212">
        <f>1</f>
        <v>1</v>
      </c>
      <c r="K454" s="212">
        <f t="shared" si="42"/>
        <v>4.1870000000000003</v>
      </c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212"/>
      <c r="Y454" s="212"/>
      <c r="Z454" s="212"/>
      <c r="AA454" s="212"/>
      <c r="AB454" s="212"/>
      <c r="AC454" s="196"/>
      <c r="AD454" s="27"/>
      <c r="AE454" s="213"/>
      <c r="AF454" s="212">
        <f t="shared" si="43"/>
        <v>9.6294499711602199E-3</v>
      </c>
      <c r="AG454" s="212"/>
      <c r="AH454" s="212"/>
      <c r="AI454" s="212"/>
      <c r="AJ454" s="212"/>
      <c r="AK454" s="212"/>
      <c r="AL454" s="212"/>
      <c r="AM454" s="212"/>
      <c r="AN454" s="212"/>
      <c r="AO454" s="212"/>
      <c r="AP454" s="196"/>
      <c r="AQ454" s="196"/>
      <c r="AR454" s="211"/>
      <c r="AS454" s="212"/>
      <c r="AT454" s="212"/>
      <c r="AU454" s="212"/>
      <c r="AW454" s="58"/>
      <c r="AX454" s="58"/>
      <c r="AY454" s="58"/>
      <c r="AZ454" s="58"/>
    </row>
    <row r="455" spans="1:52" s="185" customFormat="1" ht="15" customHeight="1" x14ac:dyDescent="0.25">
      <c r="A455" s="200"/>
      <c r="B455" s="211"/>
      <c r="C455" s="212">
        <f t="shared" si="38"/>
        <v>44.400000000000361</v>
      </c>
      <c r="D455" s="231">
        <f>15+[2]!STEPLOAD(5)</f>
        <v>20</v>
      </c>
      <c r="E455" s="212">
        <f t="shared" si="39"/>
        <v>45.698793116888091</v>
      </c>
      <c r="F455" s="212">
        <f t="shared" si="40"/>
        <v>0.5</v>
      </c>
      <c r="G455" s="212">
        <f>5</f>
        <v>5</v>
      </c>
      <c r="H455" s="212">
        <f>60</f>
        <v>60</v>
      </c>
      <c r="I455" s="212">
        <f t="shared" si="41"/>
        <v>0.9</v>
      </c>
      <c r="J455" s="212">
        <f>1</f>
        <v>1</v>
      </c>
      <c r="K455" s="212">
        <f t="shared" si="42"/>
        <v>4.1870000000000003</v>
      </c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212"/>
      <c r="Y455" s="212"/>
      <c r="Z455" s="212"/>
      <c r="AA455" s="212"/>
      <c r="AB455" s="212"/>
      <c r="AC455" s="196"/>
      <c r="AD455" s="27"/>
      <c r="AE455" s="213"/>
      <c r="AF455" s="212">
        <f t="shared" si="43"/>
        <v>9.5331554714488398E-3</v>
      </c>
      <c r="AG455" s="212"/>
      <c r="AH455" s="212"/>
      <c r="AI455" s="212"/>
      <c r="AJ455" s="212"/>
      <c r="AK455" s="212"/>
      <c r="AL455" s="212"/>
      <c r="AM455" s="212"/>
      <c r="AN455" s="212"/>
      <c r="AO455" s="212"/>
      <c r="AP455" s="196"/>
      <c r="AQ455" s="196"/>
      <c r="AR455" s="211"/>
      <c r="AS455" s="212"/>
      <c r="AT455" s="212"/>
      <c r="AU455" s="212"/>
      <c r="AW455" s="58"/>
      <c r="AX455" s="58"/>
      <c r="AY455" s="58"/>
      <c r="AZ455" s="58"/>
    </row>
    <row r="456" spans="1:52" s="185" customFormat="1" ht="15" customHeight="1" x14ac:dyDescent="0.25">
      <c r="A456" s="200"/>
      <c r="B456" s="211"/>
      <c r="C456" s="212">
        <f t="shared" si="38"/>
        <v>44.500000000000362</v>
      </c>
      <c r="D456" s="231">
        <f>15+[2]!STEPLOAD(5)</f>
        <v>20</v>
      </c>
      <c r="E456" s="212">
        <f t="shared" si="39"/>
        <v>45.699746432435234</v>
      </c>
      <c r="F456" s="212">
        <f t="shared" si="40"/>
        <v>0.5</v>
      </c>
      <c r="G456" s="212">
        <f>5</f>
        <v>5</v>
      </c>
      <c r="H456" s="212">
        <f>60</f>
        <v>60</v>
      </c>
      <c r="I456" s="212">
        <f t="shared" si="41"/>
        <v>0.9</v>
      </c>
      <c r="J456" s="212">
        <f>1</f>
        <v>1</v>
      </c>
      <c r="K456" s="212">
        <f t="shared" si="42"/>
        <v>4.1870000000000003</v>
      </c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212"/>
      <c r="Y456" s="212"/>
      <c r="Z456" s="212"/>
      <c r="AA456" s="212"/>
      <c r="AB456" s="212"/>
      <c r="AC456" s="196"/>
      <c r="AD456" s="27"/>
      <c r="AE456" s="213"/>
      <c r="AF456" s="212">
        <f t="shared" si="43"/>
        <v>9.4378239167345335E-3</v>
      </c>
      <c r="AG456" s="212"/>
      <c r="AH456" s="212"/>
      <c r="AI456" s="212"/>
      <c r="AJ456" s="212"/>
      <c r="AK456" s="212"/>
      <c r="AL456" s="212"/>
      <c r="AM456" s="212"/>
      <c r="AN456" s="212"/>
      <c r="AO456" s="212"/>
      <c r="AP456" s="196"/>
      <c r="AQ456" s="196"/>
      <c r="AR456" s="211"/>
      <c r="AS456" s="212"/>
      <c r="AT456" s="212"/>
      <c r="AU456" s="212"/>
      <c r="AW456" s="58"/>
      <c r="AX456" s="58"/>
      <c r="AY456" s="58"/>
      <c r="AZ456" s="58"/>
    </row>
    <row r="457" spans="1:52" s="185" customFormat="1" ht="15" customHeight="1" x14ac:dyDescent="0.25">
      <c r="A457" s="200"/>
      <c r="B457" s="211"/>
      <c r="C457" s="212">
        <f t="shared" si="38"/>
        <v>44.600000000000364</v>
      </c>
      <c r="D457" s="231">
        <f>15+[2]!STEPLOAD(5)</f>
        <v>20</v>
      </c>
      <c r="E457" s="212">
        <f t="shared" si="39"/>
        <v>45.700690214826906</v>
      </c>
      <c r="F457" s="212">
        <f t="shared" si="40"/>
        <v>0.5</v>
      </c>
      <c r="G457" s="212">
        <f>5</f>
        <v>5</v>
      </c>
      <c r="H457" s="212">
        <f>60</f>
        <v>60</v>
      </c>
      <c r="I457" s="212">
        <f t="shared" si="41"/>
        <v>0.9</v>
      </c>
      <c r="J457" s="212">
        <f>1</f>
        <v>1</v>
      </c>
      <c r="K457" s="212">
        <f t="shared" si="42"/>
        <v>4.1870000000000003</v>
      </c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212"/>
      <c r="Y457" s="212"/>
      <c r="Z457" s="212"/>
      <c r="AA457" s="212"/>
      <c r="AB457" s="212"/>
      <c r="AC457" s="196"/>
      <c r="AD457" s="27"/>
      <c r="AE457" s="213"/>
      <c r="AF457" s="212">
        <f t="shared" si="43"/>
        <v>9.3434456775671748E-3</v>
      </c>
      <c r="AG457" s="212"/>
      <c r="AH457" s="212"/>
      <c r="AI457" s="212"/>
      <c r="AJ457" s="212"/>
      <c r="AK457" s="212"/>
      <c r="AL457" s="212"/>
      <c r="AM457" s="212"/>
      <c r="AN457" s="212"/>
      <c r="AO457" s="212"/>
      <c r="AP457" s="196"/>
      <c r="AQ457" s="196"/>
      <c r="AR457" s="211"/>
      <c r="AS457" s="212"/>
      <c r="AT457" s="212"/>
      <c r="AU457" s="212"/>
      <c r="AW457" s="58"/>
      <c r="AX457" s="58"/>
      <c r="AY457" s="58"/>
      <c r="AZ457" s="58"/>
    </row>
    <row r="458" spans="1:52" s="185" customFormat="1" ht="15" customHeight="1" x14ac:dyDescent="0.25">
      <c r="A458" s="200"/>
      <c r="B458" s="211"/>
      <c r="C458" s="212">
        <f t="shared" si="38"/>
        <v>44.700000000000365</v>
      </c>
      <c r="D458" s="231">
        <f>15+[2]!STEPLOAD(5)</f>
        <v>20</v>
      </c>
      <c r="E458" s="212">
        <f t="shared" si="39"/>
        <v>45.701624559394666</v>
      </c>
      <c r="F458" s="212">
        <f t="shared" si="40"/>
        <v>0.5</v>
      </c>
      <c r="G458" s="212">
        <f>5</f>
        <v>5</v>
      </c>
      <c r="H458" s="212">
        <f>60</f>
        <v>60</v>
      </c>
      <c r="I458" s="212">
        <f t="shared" si="41"/>
        <v>0.9</v>
      </c>
      <c r="J458" s="212">
        <f>1</f>
        <v>1</v>
      </c>
      <c r="K458" s="212">
        <f t="shared" si="42"/>
        <v>4.1870000000000003</v>
      </c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212"/>
      <c r="Y458" s="212"/>
      <c r="Z458" s="212"/>
      <c r="AA458" s="212"/>
      <c r="AB458" s="212"/>
      <c r="AC458" s="196"/>
      <c r="AD458" s="27"/>
      <c r="AE458" s="213"/>
      <c r="AF458" s="212">
        <f t="shared" si="43"/>
        <v>9.2500112207911656E-3</v>
      </c>
      <c r="AG458" s="212"/>
      <c r="AH458" s="212"/>
      <c r="AI458" s="212"/>
      <c r="AJ458" s="212"/>
      <c r="AK458" s="212"/>
      <c r="AL458" s="212"/>
      <c r="AM458" s="212"/>
      <c r="AN458" s="212"/>
      <c r="AO458" s="212"/>
      <c r="AP458" s="196"/>
      <c r="AQ458" s="196"/>
      <c r="AR458" s="211"/>
      <c r="AS458" s="212"/>
      <c r="AT458" s="212"/>
      <c r="AU458" s="212"/>
      <c r="AW458" s="58"/>
      <c r="AX458" s="58"/>
      <c r="AY458" s="58"/>
      <c r="AZ458" s="58"/>
    </row>
    <row r="459" spans="1:52" s="185" customFormat="1" ht="15" customHeight="1" x14ac:dyDescent="0.25">
      <c r="A459" s="200"/>
      <c r="B459" s="211"/>
      <c r="C459" s="212">
        <f t="shared" si="38"/>
        <v>44.800000000000367</v>
      </c>
      <c r="D459" s="231">
        <f>15+[2]!STEPLOAD(5)</f>
        <v>20</v>
      </c>
      <c r="E459" s="212">
        <f t="shared" si="39"/>
        <v>45.702549560516744</v>
      </c>
      <c r="F459" s="212">
        <f t="shared" si="40"/>
        <v>0.5</v>
      </c>
      <c r="G459" s="212">
        <f>5</f>
        <v>5</v>
      </c>
      <c r="H459" s="212">
        <f>60</f>
        <v>60</v>
      </c>
      <c r="I459" s="212">
        <f t="shared" si="41"/>
        <v>0.9</v>
      </c>
      <c r="J459" s="212">
        <f>1</f>
        <v>1</v>
      </c>
      <c r="K459" s="212">
        <f t="shared" si="42"/>
        <v>4.1870000000000003</v>
      </c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212"/>
      <c r="Y459" s="212"/>
      <c r="Z459" s="212"/>
      <c r="AA459" s="212"/>
      <c r="AB459" s="212"/>
      <c r="AC459" s="196"/>
      <c r="AD459" s="27"/>
      <c r="AE459" s="213"/>
      <c r="AF459" s="212">
        <f t="shared" si="43"/>
        <v>9.1575111085835381E-3</v>
      </c>
      <c r="AG459" s="212"/>
      <c r="AH459" s="212"/>
      <c r="AI459" s="212"/>
      <c r="AJ459" s="212"/>
      <c r="AK459" s="212"/>
      <c r="AL459" s="212"/>
      <c r="AM459" s="212"/>
      <c r="AN459" s="212"/>
      <c r="AO459" s="212"/>
      <c r="AP459" s="196"/>
      <c r="AQ459" s="196"/>
      <c r="AR459" s="211"/>
      <c r="AS459" s="212"/>
      <c r="AT459" s="212"/>
      <c r="AU459" s="212"/>
      <c r="AW459" s="58"/>
      <c r="AX459" s="58"/>
      <c r="AY459" s="58"/>
      <c r="AZ459" s="58"/>
    </row>
    <row r="460" spans="1:52" s="185" customFormat="1" ht="15" customHeight="1" x14ac:dyDescent="0.25">
      <c r="A460" s="200"/>
      <c r="B460" s="211"/>
      <c r="C460" s="212">
        <f t="shared" ref="C460:C523" si="44">C459+IntegrationStep</f>
        <v>44.900000000000368</v>
      </c>
      <c r="D460" s="231">
        <f>15+[2]!STEPLOAD(5)</f>
        <v>20</v>
      </c>
      <c r="E460" s="212">
        <f t="shared" si="39"/>
        <v>45.703465311627603</v>
      </c>
      <c r="F460" s="212">
        <f t="shared" si="40"/>
        <v>0.5</v>
      </c>
      <c r="G460" s="212">
        <f>5</f>
        <v>5</v>
      </c>
      <c r="H460" s="212">
        <f>60</f>
        <v>60</v>
      </c>
      <c r="I460" s="212">
        <f t="shared" si="41"/>
        <v>0.9</v>
      </c>
      <c r="J460" s="212">
        <f>1</f>
        <v>1</v>
      </c>
      <c r="K460" s="212">
        <f t="shared" si="42"/>
        <v>4.1870000000000003</v>
      </c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212"/>
      <c r="Y460" s="212"/>
      <c r="Z460" s="212"/>
      <c r="AA460" s="212"/>
      <c r="AB460" s="212"/>
      <c r="AC460" s="196"/>
      <c r="AD460" s="27"/>
      <c r="AE460" s="213"/>
      <c r="AF460" s="212">
        <f t="shared" si="43"/>
        <v>9.0659359974973874E-3</v>
      </c>
      <c r="AG460" s="212"/>
      <c r="AH460" s="212"/>
      <c r="AI460" s="212"/>
      <c r="AJ460" s="212"/>
      <c r="AK460" s="212"/>
      <c r="AL460" s="212"/>
      <c r="AM460" s="212"/>
      <c r="AN460" s="212"/>
      <c r="AO460" s="212"/>
      <c r="AP460" s="196"/>
      <c r="AQ460" s="196"/>
      <c r="AR460" s="211"/>
      <c r="AS460" s="212"/>
      <c r="AT460" s="212"/>
      <c r="AU460" s="212"/>
      <c r="AW460" s="58"/>
      <c r="AX460" s="58"/>
      <c r="AY460" s="58"/>
      <c r="AZ460" s="58"/>
    </row>
    <row r="461" spans="1:52" s="185" customFormat="1" ht="15" customHeight="1" x14ac:dyDescent="0.25">
      <c r="A461" s="200"/>
      <c r="B461" s="211"/>
      <c r="C461" s="212">
        <f t="shared" si="44"/>
        <v>45.000000000000369</v>
      </c>
      <c r="D461" s="231">
        <f>15+[2]!STEPLOAD(5)</f>
        <v>20</v>
      </c>
      <c r="E461" s="212">
        <f t="shared" ref="E461:E524" si="45">E460+(C461-C460)*AF460</f>
        <v>45.704371905227354</v>
      </c>
      <c r="F461" s="212">
        <f t="shared" ref="F461:F524" si="46">0.5</f>
        <v>0.5</v>
      </c>
      <c r="G461" s="212">
        <f>5</f>
        <v>5</v>
      </c>
      <c r="H461" s="212">
        <f>60</f>
        <v>60</v>
      </c>
      <c r="I461" s="212">
        <f t="shared" ref="I461:I524" si="47">0.9</f>
        <v>0.9</v>
      </c>
      <c r="J461" s="212">
        <f>1</f>
        <v>1</v>
      </c>
      <c r="K461" s="212">
        <f t="shared" ref="K461:K524" si="48">4.187</f>
        <v>4.1870000000000003</v>
      </c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212"/>
      <c r="Y461" s="212"/>
      <c r="Z461" s="212"/>
      <c r="AA461" s="212"/>
      <c r="AB461" s="212"/>
      <c r="AC461" s="196"/>
      <c r="AD461" s="27"/>
      <c r="AE461" s="213"/>
      <c r="AF461" s="212">
        <f t="shared" ref="AF461:AF524" si="49">F461/G461*(D461-E461)+H461*I461/G461/J461/K461</f>
        <v>8.9752766375226223E-3</v>
      </c>
      <c r="AG461" s="212"/>
      <c r="AH461" s="212"/>
      <c r="AI461" s="212"/>
      <c r="AJ461" s="212"/>
      <c r="AK461" s="212"/>
      <c r="AL461" s="212"/>
      <c r="AM461" s="212"/>
      <c r="AN461" s="212"/>
      <c r="AO461" s="212"/>
      <c r="AP461" s="196"/>
      <c r="AQ461" s="196"/>
      <c r="AR461" s="211"/>
      <c r="AS461" s="212"/>
      <c r="AT461" s="212"/>
      <c r="AU461" s="212"/>
      <c r="AW461" s="58"/>
      <c r="AX461" s="58"/>
      <c r="AY461" s="58"/>
      <c r="AZ461" s="58"/>
    </row>
    <row r="462" spans="1:52" s="185" customFormat="1" ht="15" customHeight="1" x14ac:dyDescent="0.25">
      <c r="A462" s="200"/>
      <c r="B462" s="211"/>
      <c r="C462" s="212">
        <f t="shared" si="44"/>
        <v>45.100000000000371</v>
      </c>
      <c r="D462" s="231">
        <f>15+[2]!STEPLOAD(5)</f>
        <v>20</v>
      </c>
      <c r="E462" s="212">
        <f t="shared" si="45"/>
        <v>45.705269432891107</v>
      </c>
      <c r="F462" s="212">
        <f t="shared" si="46"/>
        <v>0.5</v>
      </c>
      <c r="G462" s="212">
        <f>5</f>
        <v>5</v>
      </c>
      <c r="H462" s="212">
        <f>60</f>
        <v>60</v>
      </c>
      <c r="I462" s="212">
        <f t="shared" si="47"/>
        <v>0.9</v>
      </c>
      <c r="J462" s="212">
        <f>1</f>
        <v>1</v>
      </c>
      <c r="K462" s="212">
        <f t="shared" si="48"/>
        <v>4.1870000000000003</v>
      </c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212"/>
      <c r="Y462" s="212"/>
      <c r="Z462" s="212"/>
      <c r="AA462" s="212"/>
      <c r="AB462" s="212"/>
      <c r="AC462" s="196"/>
      <c r="AD462" s="27"/>
      <c r="AE462" s="213"/>
      <c r="AF462" s="212">
        <f t="shared" si="49"/>
        <v>8.8855238711471607E-3</v>
      </c>
      <c r="AG462" s="212"/>
      <c r="AH462" s="212"/>
      <c r="AI462" s="212"/>
      <c r="AJ462" s="212"/>
      <c r="AK462" s="212"/>
      <c r="AL462" s="212"/>
      <c r="AM462" s="212"/>
      <c r="AN462" s="212"/>
      <c r="AO462" s="212"/>
      <c r="AP462" s="196"/>
      <c r="AQ462" s="196"/>
      <c r="AR462" s="211"/>
      <c r="AS462" s="212"/>
      <c r="AT462" s="212"/>
      <c r="AU462" s="212"/>
      <c r="AW462" s="58"/>
      <c r="AX462" s="58"/>
      <c r="AY462" s="58"/>
      <c r="AZ462" s="58"/>
    </row>
    <row r="463" spans="1:52" s="185" customFormat="1" ht="15" customHeight="1" x14ac:dyDescent="0.25">
      <c r="A463" s="200"/>
      <c r="B463" s="211"/>
      <c r="C463" s="212">
        <f t="shared" si="44"/>
        <v>45.200000000000372</v>
      </c>
      <c r="D463" s="231">
        <f>15+[2]!STEPLOAD(5)</f>
        <v>20</v>
      </c>
      <c r="E463" s="212">
        <f t="shared" si="45"/>
        <v>45.706157985278224</v>
      </c>
      <c r="F463" s="212">
        <f t="shared" si="46"/>
        <v>0.5</v>
      </c>
      <c r="G463" s="212">
        <f>5</f>
        <v>5</v>
      </c>
      <c r="H463" s="212">
        <f>60</f>
        <v>60</v>
      </c>
      <c r="I463" s="212">
        <f t="shared" si="47"/>
        <v>0.9</v>
      </c>
      <c r="J463" s="212">
        <f>1</f>
        <v>1</v>
      </c>
      <c r="K463" s="212">
        <f t="shared" si="48"/>
        <v>4.1870000000000003</v>
      </c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2"/>
      <c r="Z463" s="212"/>
      <c r="AA463" s="212"/>
      <c r="AB463" s="212"/>
      <c r="AC463" s="196"/>
      <c r="AD463" s="27"/>
      <c r="AE463" s="213"/>
      <c r="AF463" s="212">
        <f t="shared" si="49"/>
        <v>8.7966686324354448E-3</v>
      </c>
      <c r="AG463" s="212"/>
      <c r="AH463" s="212"/>
      <c r="AI463" s="212"/>
      <c r="AJ463" s="212"/>
      <c r="AK463" s="212"/>
      <c r="AL463" s="212"/>
      <c r="AM463" s="212"/>
      <c r="AN463" s="212"/>
      <c r="AO463" s="212"/>
      <c r="AP463" s="196"/>
      <c r="AQ463" s="196"/>
      <c r="AR463" s="211"/>
      <c r="AS463" s="212"/>
      <c r="AT463" s="212"/>
      <c r="AU463" s="212"/>
      <c r="AW463" s="58"/>
      <c r="AX463" s="58"/>
      <c r="AY463" s="58"/>
      <c r="AZ463" s="58"/>
    </row>
    <row r="464" spans="1:52" s="185" customFormat="1" ht="15" customHeight="1" x14ac:dyDescent="0.25">
      <c r="A464" s="200"/>
      <c r="B464" s="211"/>
      <c r="C464" s="212">
        <f t="shared" si="44"/>
        <v>45.300000000000374</v>
      </c>
      <c r="D464" s="231">
        <f>15+[2]!STEPLOAD(5)</f>
        <v>20</v>
      </c>
      <c r="E464" s="212">
        <f t="shared" si="45"/>
        <v>45.707037652141466</v>
      </c>
      <c r="F464" s="212">
        <f t="shared" si="46"/>
        <v>0.5</v>
      </c>
      <c r="G464" s="212">
        <f>5</f>
        <v>5</v>
      </c>
      <c r="H464" s="212">
        <f>60</f>
        <v>60</v>
      </c>
      <c r="I464" s="212">
        <f t="shared" si="47"/>
        <v>0.9</v>
      </c>
      <c r="J464" s="212">
        <f>1</f>
        <v>1</v>
      </c>
      <c r="K464" s="212">
        <f t="shared" si="48"/>
        <v>4.1870000000000003</v>
      </c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212"/>
      <c r="Y464" s="212"/>
      <c r="Z464" s="212"/>
      <c r="AA464" s="212"/>
      <c r="AB464" s="212"/>
      <c r="AC464" s="196"/>
      <c r="AD464" s="27"/>
      <c r="AE464" s="213"/>
      <c r="AF464" s="212">
        <f t="shared" si="49"/>
        <v>8.7087019461113968E-3</v>
      </c>
      <c r="AG464" s="212"/>
      <c r="AH464" s="212"/>
      <c r="AI464" s="212"/>
      <c r="AJ464" s="212"/>
      <c r="AK464" s="212"/>
      <c r="AL464" s="212"/>
      <c r="AM464" s="212"/>
      <c r="AN464" s="212"/>
      <c r="AO464" s="212"/>
      <c r="AP464" s="196"/>
      <c r="AQ464" s="196"/>
      <c r="AR464" s="211"/>
      <c r="AS464" s="212"/>
      <c r="AT464" s="212"/>
      <c r="AU464" s="212"/>
      <c r="AW464" s="58"/>
      <c r="AX464" s="58"/>
      <c r="AY464" s="58"/>
      <c r="AZ464" s="58"/>
    </row>
    <row r="465" spans="1:52" s="185" customFormat="1" ht="15" customHeight="1" x14ac:dyDescent="0.25">
      <c r="A465" s="200"/>
      <c r="B465" s="211"/>
      <c r="C465" s="212">
        <f t="shared" si="44"/>
        <v>45.400000000000375</v>
      </c>
      <c r="D465" s="231">
        <f>15+[2]!STEPLOAD(5)</f>
        <v>20</v>
      </c>
      <c r="E465" s="212">
        <f t="shared" si="45"/>
        <v>45.707908522336076</v>
      </c>
      <c r="F465" s="212">
        <f t="shared" si="46"/>
        <v>0.5</v>
      </c>
      <c r="G465" s="212">
        <f>5</f>
        <v>5</v>
      </c>
      <c r="H465" s="212">
        <f>60</f>
        <v>60</v>
      </c>
      <c r="I465" s="212">
        <f t="shared" si="47"/>
        <v>0.9</v>
      </c>
      <c r="J465" s="212">
        <f>1</f>
        <v>1</v>
      </c>
      <c r="K465" s="212">
        <f t="shared" si="48"/>
        <v>4.1870000000000003</v>
      </c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212"/>
      <c r="Y465" s="212"/>
      <c r="Z465" s="212"/>
      <c r="AA465" s="212"/>
      <c r="AB465" s="212"/>
      <c r="AC465" s="196"/>
      <c r="AD465" s="27"/>
      <c r="AE465" s="213"/>
      <c r="AF465" s="212">
        <f t="shared" si="49"/>
        <v>8.6216149266502562E-3</v>
      </c>
      <c r="AG465" s="212"/>
      <c r="AH465" s="212"/>
      <c r="AI465" s="212"/>
      <c r="AJ465" s="212"/>
      <c r="AK465" s="212"/>
      <c r="AL465" s="212"/>
      <c r="AM465" s="212"/>
      <c r="AN465" s="212"/>
      <c r="AO465" s="212"/>
      <c r="AP465" s="196"/>
      <c r="AQ465" s="196"/>
      <c r="AR465" s="211"/>
      <c r="AS465" s="212"/>
      <c r="AT465" s="212"/>
      <c r="AU465" s="212"/>
      <c r="AW465" s="58"/>
      <c r="AX465" s="58"/>
      <c r="AY465" s="58"/>
      <c r="AZ465" s="58"/>
    </row>
    <row r="466" spans="1:52" s="185" customFormat="1" ht="15" customHeight="1" x14ac:dyDescent="0.25">
      <c r="A466" s="200"/>
      <c r="B466" s="211"/>
      <c r="C466" s="212">
        <f t="shared" si="44"/>
        <v>45.500000000000377</v>
      </c>
      <c r="D466" s="231">
        <f>15+[2]!STEPLOAD(5)</f>
        <v>20</v>
      </c>
      <c r="E466" s="212">
        <f t="shared" si="45"/>
        <v>45.708770683828739</v>
      </c>
      <c r="F466" s="212">
        <f t="shared" si="46"/>
        <v>0.5</v>
      </c>
      <c r="G466" s="212">
        <f>5</f>
        <v>5</v>
      </c>
      <c r="H466" s="212">
        <f>60</f>
        <v>60</v>
      </c>
      <c r="I466" s="212">
        <f t="shared" si="47"/>
        <v>0.9</v>
      </c>
      <c r="J466" s="212">
        <f>1</f>
        <v>1</v>
      </c>
      <c r="K466" s="212">
        <f t="shared" si="48"/>
        <v>4.1870000000000003</v>
      </c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  <c r="AA466" s="212"/>
      <c r="AB466" s="212"/>
      <c r="AC466" s="196"/>
      <c r="AD466" s="27"/>
      <c r="AE466" s="213"/>
      <c r="AF466" s="212">
        <f t="shared" si="49"/>
        <v>8.5353987773841844E-3</v>
      </c>
      <c r="AG466" s="212"/>
      <c r="AH466" s="212"/>
      <c r="AI466" s="212"/>
      <c r="AJ466" s="212"/>
      <c r="AK466" s="212"/>
      <c r="AL466" s="212"/>
      <c r="AM466" s="212"/>
      <c r="AN466" s="212"/>
      <c r="AO466" s="212"/>
      <c r="AP466" s="196"/>
      <c r="AQ466" s="196"/>
      <c r="AR466" s="211"/>
      <c r="AS466" s="212"/>
      <c r="AT466" s="212"/>
      <c r="AU466" s="212"/>
      <c r="AW466" s="58"/>
      <c r="AX466" s="58"/>
      <c r="AY466" s="58"/>
      <c r="AZ466" s="58"/>
    </row>
    <row r="467" spans="1:52" s="185" customFormat="1" ht="15" customHeight="1" x14ac:dyDescent="0.25">
      <c r="A467" s="200"/>
      <c r="B467" s="211"/>
      <c r="C467" s="212">
        <f t="shared" si="44"/>
        <v>45.600000000000378</v>
      </c>
      <c r="D467" s="231">
        <f>15+[2]!STEPLOAD(5)</f>
        <v>20</v>
      </c>
      <c r="E467" s="212">
        <f t="shared" si="45"/>
        <v>45.709624223706477</v>
      </c>
      <c r="F467" s="212">
        <f t="shared" si="46"/>
        <v>0.5</v>
      </c>
      <c r="G467" s="212">
        <f>5</f>
        <v>5</v>
      </c>
      <c r="H467" s="212">
        <f>60</f>
        <v>60</v>
      </c>
      <c r="I467" s="212">
        <f t="shared" si="47"/>
        <v>0.9</v>
      </c>
      <c r="J467" s="212">
        <f>1</f>
        <v>1</v>
      </c>
      <c r="K467" s="212">
        <f t="shared" si="48"/>
        <v>4.1870000000000003</v>
      </c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  <c r="AA467" s="212"/>
      <c r="AB467" s="212"/>
      <c r="AC467" s="196"/>
      <c r="AD467" s="27"/>
      <c r="AE467" s="213"/>
      <c r="AF467" s="212">
        <f t="shared" si="49"/>
        <v>8.4500447896100894E-3</v>
      </c>
      <c r="AG467" s="212"/>
      <c r="AH467" s="212"/>
      <c r="AI467" s="212"/>
      <c r="AJ467" s="212"/>
      <c r="AK467" s="212"/>
      <c r="AL467" s="212"/>
      <c r="AM467" s="212"/>
      <c r="AN467" s="212"/>
      <c r="AO467" s="212"/>
      <c r="AP467" s="196"/>
      <c r="AQ467" s="196"/>
      <c r="AR467" s="211"/>
      <c r="AS467" s="212"/>
      <c r="AT467" s="212"/>
      <c r="AU467" s="212"/>
      <c r="AW467" s="58"/>
      <c r="AX467" s="58"/>
      <c r="AY467" s="58"/>
      <c r="AZ467" s="58"/>
    </row>
    <row r="468" spans="1:52" s="185" customFormat="1" ht="15" customHeight="1" x14ac:dyDescent="0.25">
      <c r="A468" s="200"/>
      <c r="B468" s="211"/>
      <c r="C468" s="212">
        <f t="shared" si="44"/>
        <v>45.700000000000379</v>
      </c>
      <c r="D468" s="231">
        <f>15+[2]!STEPLOAD(5)</f>
        <v>20</v>
      </c>
      <c r="E468" s="212">
        <f t="shared" si="45"/>
        <v>45.710469228185438</v>
      </c>
      <c r="F468" s="212">
        <f t="shared" si="46"/>
        <v>0.5</v>
      </c>
      <c r="G468" s="212">
        <f>5</f>
        <v>5</v>
      </c>
      <c r="H468" s="212">
        <f>60</f>
        <v>60</v>
      </c>
      <c r="I468" s="212">
        <f t="shared" si="47"/>
        <v>0.9</v>
      </c>
      <c r="J468" s="212">
        <f>1</f>
        <v>1</v>
      </c>
      <c r="K468" s="212">
        <f t="shared" si="48"/>
        <v>4.1870000000000003</v>
      </c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  <c r="AA468" s="212"/>
      <c r="AB468" s="212"/>
      <c r="AC468" s="196"/>
      <c r="AD468" s="27"/>
      <c r="AE468" s="213"/>
      <c r="AF468" s="212">
        <f t="shared" si="49"/>
        <v>8.3655443417138819E-3</v>
      </c>
      <c r="AG468" s="212"/>
      <c r="AH468" s="212"/>
      <c r="AI468" s="212"/>
      <c r="AJ468" s="212"/>
      <c r="AK468" s="212"/>
      <c r="AL468" s="212"/>
      <c r="AM468" s="212"/>
      <c r="AN468" s="212"/>
      <c r="AO468" s="212"/>
      <c r="AP468" s="196"/>
      <c r="AQ468" s="196"/>
      <c r="AR468" s="211"/>
      <c r="AS468" s="212"/>
      <c r="AT468" s="212"/>
      <c r="AU468" s="212"/>
      <c r="AW468" s="58"/>
      <c r="AX468" s="58"/>
      <c r="AY468" s="58"/>
      <c r="AZ468" s="58"/>
    </row>
    <row r="469" spans="1:52" s="185" customFormat="1" ht="15" customHeight="1" x14ac:dyDescent="0.25">
      <c r="A469" s="200"/>
      <c r="B469" s="211"/>
      <c r="C469" s="212">
        <f t="shared" si="44"/>
        <v>45.800000000000381</v>
      </c>
      <c r="D469" s="231">
        <f>15+[2]!STEPLOAD(5)</f>
        <v>20</v>
      </c>
      <c r="E469" s="212">
        <f t="shared" si="45"/>
        <v>45.711305782619611</v>
      </c>
      <c r="F469" s="212">
        <f t="shared" si="46"/>
        <v>0.5</v>
      </c>
      <c r="G469" s="212">
        <f>5</f>
        <v>5</v>
      </c>
      <c r="H469" s="212">
        <f>60</f>
        <v>60</v>
      </c>
      <c r="I469" s="212">
        <f t="shared" si="47"/>
        <v>0.9</v>
      </c>
      <c r="J469" s="212">
        <f>1</f>
        <v>1</v>
      </c>
      <c r="K469" s="212">
        <f t="shared" si="48"/>
        <v>4.1870000000000003</v>
      </c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  <c r="AA469" s="212"/>
      <c r="AB469" s="212"/>
      <c r="AC469" s="196"/>
      <c r="AD469" s="27"/>
      <c r="AE469" s="213"/>
      <c r="AF469" s="212">
        <f t="shared" si="49"/>
        <v>8.2818888982969519E-3</v>
      </c>
      <c r="AG469" s="212"/>
      <c r="AH469" s="212"/>
      <c r="AI469" s="212"/>
      <c r="AJ469" s="212"/>
      <c r="AK469" s="212"/>
      <c r="AL469" s="212"/>
      <c r="AM469" s="212"/>
      <c r="AN469" s="212"/>
      <c r="AO469" s="212"/>
      <c r="AP469" s="196"/>
      <c r="AQ469" s="196"/>
      <c r="AR469" s="211"/>
      <c r="AS469" s="212"/>
      <c r="AT469" s="212"/>
      <c r="AU469" s="212"/>
      <c r="AW469" s="58"/>
      <c r="AX469" s="58"/>
      <c r="AY469" s="58"/>
      <c r="AZ469" s="58"/>
    </row>
    <row r="470" spans="1:52" s="185" customFormat="1" ht="15" customHeight="1" x14ac:dyDescent="0.25">
      <c r="A470" s="200"/>
      <c r="B470" s="211"/>
      <c r="C470" s="212">
        <f t="shared" si="44"/>
        <v>45.900000000000382</v>
      </c>
      <c r="D470" s="231">
        <f>15+[2]!STEPLOAD(5)</f>
        <v>20</v>
      </c>
      <c r="E470" s="212">
        <f t="shared" si="45"/>
        <v>45.712133971509438</v>
      </c>
      <c r="F470" s="212">
        <f t="shared" si="46"/>
        <v>0.5</v>
      </c>
      <c r="G470" s="212">
        <f>5</f>
        <v>5</v>
      </c>
      <c r="H470" s="212">
        <f>60</f>
        <v>60</v>
      </c>
      <c r="I470" s="212">
        <f t="shared" si="47"/>
        <v>0.9</v>
      </c>
      <c r="J470" s="212">
        <f>1</f>
        <v>1</v>
      </c>
      <c r="K470" s="212">
        <f t="shared" si="48"/>
        <v>4.1870000000000003</v>
      </c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  <c r="AA470" s="212"/>
      <c r="AB470" s="212"/>
      <c r="AC470" s="196"/>
      <c r="AD470" s="27"/>
      <c r="AE470" s="213"/>
      <c r="AF470" s="212">
        <f t="shared" si="49"/>
        <v>8.1990700093141911E-3</v>
      </c>
      <c r="AG470" s="212"/>
      <c r="AH470" s="212"/>
      <c r="AI470" s="212"/>
      <c r="AJ470" s="212"/>
      <c r="AK470" s="212"/>
      <c r="AL470" s="212"/>
      <c r="AM470" s="212"/>
      <c r="AN470" s="212"/>
      <c r="AO470" s="212"/>
      <c r="AP470" s="196"/>
      <c r="AQ470" s="196"/>
      <c r="AR470" s="211"/>
      <c r="AS470" s="212"/>
      <c r="AT470" s="212"/>
      <c r="AU470" s="212"/>
      <c r="AW470" s="58"/>
      <c r="AX470" s="58"/>
      <c r="AY470" s="58"/>
      <c r="AZ470" s="58"/>
    </row>
    <row r="471" spans="1:52" s="185" customFormat="1" ht="15" customHeight="1" x14ac:dyDescent="0.25">
      <c r="A471" s="200"/>
      <c r="B471" s="211"/>
      <c r="C471" s="212">
        <f t="shared" si="44"/>
        <v>46.000000000000384</v>
      </c>
      <c r="D471" s="231">
        <f>15+[2]!STEPLOAD(5)</f>
        <v>20</v>
      </c>
      <c r="E471" s="212">
        <f t="shared" si="45"/>
        <v>45.712953878510369</v>
      </c>
      <c r="F471" s="212">
        <f t="shared" si="46"/>
        <v>0.5</v>
      </c>
      <c r="G471" s="212">
        <f>5</f>
        <v>5</v>
      </c>
      <c r="H471" s="212">
        <f>60</f>
        <v>60</v>
      </c>
      <c r="I471" s="212">
        <f t="shared" si="47"/>
        <v>0.9</v>
      </c>
      <c r="J471" s="212">
        <f>1</f>
        <v>1</v>
      </c>
      <c r="K471" s="212">
        <f t="shared" si="48"/>
        <v>4.1870000000000003</v>
      </c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  <c r="AA471" s="212"/>
      <c r="AB471" s="212"/>
      <c r="AC471" s="196"/>
      <c r="AD471" s="27"/>
      <c r="AE471" s="213"/>
      <c r="AF471" s="212">
        <f t="shared" si="49"/>
        <v>8.1170793092208982E-3</v>
      </c>
      <c r="AG471" s="212"/>
      <c r="AH471" s="212"/>
      <c r="AI471" s="212"/>
      <c r="AJ471" s="212"/>
      <c r="AK471" s="212"/>
      <c r="AL471" s="212"/>
      <c r="AM471" s="212"/>
      <c r="AN471" s="212"/>
      <c r="AO471" s="212"/>
      <c r="AP471" s="196"/>
      <c r="AQ471" s="196"/>
      <c r="AR471" s="211"/>
      <c r="AS471" s="212"/>
      <c r="AT471" s="212"/>
      <c r="AU471" s="212"/>
      <c r="AW471" s="58"/>
      <c r="AX471" s="58"/>
      <c r="AY471" s="58"/>
      <c r="AZ471" s="58"/>
    </row>
    <row r="472" spans="1:52" s="185" customFormat="1" ht="15" customHeight="1" x14ac:dyDescent="0.25">
      <c r="A472" s="200"/>
      <c r="B472" s="211"/>
      <c r="C472" s="212">
        <f t="shared" si="44"/>
        <v>46.100000000000385</v>
      </c>
      <c r="D472" s="231">
        <f>15+[2]!STEPLOAD(5)</f>
        <v>20</v>
      </c>
      <c r="E472" s="212">
        <f t="shared" si="45"/>
        <v>45.713765586441291</v>
      </c>
      <c r="F472" s="212">
        <f t="shared" si="46"/>
        <v>0.5</v>
      </c>
      <c r="G472" s="212">
        <f>5</f>
        <v>5</v>
      </c>
      <c r="H472" s="212">
        <f>60</f>
        <v>60</v>
      </c>
      <c r="I472" s="212">
        <f t="shared" si="47"/>
        <v>0.9</v>
      </c>
      <c r="J472" s="212">
        <f>1</f>
        <v>1</v>
      </c>
      <c r="K472" s="212">
        <f t="shared" si="48"/>
        <v>4.1870000000000003</v>
      </c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  <c r="AA472" s="212"/>
      <c r="AB472" s="212"/>
      <c r="AC472" s="196"/>
      <c r="AD472" s="27"/>
      <c r="AE472" s="213"/>
      <c r="AF472" s="212">
        <f t="shared" si="49"/>
        <v>8.0359085161290089E-3</v>
      </c>
      <c r="AG472" s="212"/>
      <c r="AH472" s="212"/>
      <c r="AI472" s="212"/>
      <c r="AJ472" s="212"/>
      <c r="AK472" s="212"/>
      <c r="AL472" s="212"/>
      <c r="AM472" s="212"/>
      <c r="AN472" s="212"/>
      <c r="AO472" s="212"/>
      <c r="AP472" s="196"/>
      <c r="AQ472" s="196"/>
      <c r="AR472" s="211"/>
      <c r="AS472" s="212"/>
      <c r="AT472" s="212"/>
      <c r="AU472" s="212"/>
      <c r="AW472" s="58"/>
      <c r="AX472" s="58"/>
      <c r="AY472" s="58"/>
      <c r="AZ472" s="58"/>
    </row>
    <row r="473" spans="1:52" s="185" customFormat="1" ht="15" customHeight="1" x14ac:dyDescent="0.25">
      <c r="A473" s="200"/>
      <c r="B473" s="211"/>
      <c r="C473" s="212">
        <f t="shared" si="44"/>
        <v>46.200000000000387</v>
      </c>
      <c r="D473" s="231">
        <f>15+[2]!STEPLOAD(5)</f>
        <v>20</v>
      </c>
      <c r="E473" s="212">
        <f t="shared" si="45"/>
        <v>45.714569177292901</v>
      </c>
      <c r="F473" s="212">
        <f t="shared" si="46"/>
        <v>0.5</v>
      </c>
      <c r="G473" s="212">
        <f>5</f>
        <v>5</v>
      </c>
      <c r="H473" s="212">
        <f>60</f>
        <v>60</v>
      </c>
      <c r="I473" s="212">
        <f t="shared" si="47"/>
        <v>0.9</v>
      </c>
      <c r="J473" s="212">
        <f>1</f>
        <v>1</v>
      </c>
      <c r="K473" s="212">
        <f t="shared" si="48"/>
        <v>4.1870000000000003</v>
      </c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  <c r="AA473" s="212"/>
      <c r="AB473" s="212"/>
      <c r="AC473" s="196"/>
      <c r="AD473" s="27"/>
      <c r="AE473" s="213"/>
      <c r="AF473" s="212">
        <f t="shared" si="49"/>
        <v>7.9555494309677677E-3</v>
      </c>
      <c r="AG473" s="212"/>
      <c r="AH473" s="212"/>
      <c r="AI473" s="212"/>
      <c r="AJ473" s="212"/>
      <c r="AK473" s="212"/>
      <c r="AL473" s="212"/>
      <c r="AM473" s="212"/>
      <c r="AN473" s="212"/>
      <c r="AO473" s="212"/>
      <c r="AP473" s="196"/>
      <c r="AQ473" s="196"/>
      <c r="AR473" s="211"/>
      <c r="AS473" s="212"/>
      <c r="AT473" s="212"/>
      <c r="AU473" s="212"/>
      <c r="AW473" s="58"/>
      <c r="AX473" s="58"/>
      <c r="AY473" s="58"/>
      <c r="AZ473" s="58"/>
    </row>
    <row r="474" spans="1:52" s="185" customFormat="1" ht="15" customHeight="1" x14ac:dyDescent="0.25">
      <c r="A474" s="200"/>
      <c r="B474" s="211"/>
      <c r="C474" s="212">
        <f t="shared" si="44"/>
        <v>46.300000000000388</v>
      </c>
      <c r="D474" s="231">
        <f>15+[2]!STEPLOAD(5)</f>
        <v>20</v>
      </c>
      <c r="E474" s="212">
        <f t="shared" si="45"/>
        <v>45.715364732235997</v>
      </c>
      <c r="F474" s="212">
        <f t="shared" si="46"/>
        <v>0.5</v>
      </c>
      <c r="G474" s="212">
        <f>5</f>
        <v>5</v>
      </c>
      <c r="H474" s="212">
        <f>60</f>
        <v>60</v>
      </c>
      <c r="I474" s="212">
        <f t="shared" si="47"/>
        <v>0.9</v>
      </c>
      <c r="J474" s="212">
        <f>1</f>
        <v>1</v>
      </c>
      <c r="K474" s="212">
        <f t="shared" si="48"/>
        <v>4.1870000000000003</v>
      </c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  <c r="AA474" s="212"/>
      <c r="AB474" s="212"/>
      <c r="AC474" s="196"/>
      <c r="AD474" s="27"/>
      <c r="AE474" s="213"/>
      <c r="AF474" s="212">
        <f t="shared" si="49"/>
        <v>7.8759939366581655E-3</v>
      </c>
      <c r="AG474" s="212"/>
      <c r="AH474" s="212"/>
      <c r="AI474" s="212"/>
      <c r="AJ474" s="212"/>
      <c r="AK474" s="212"/>
      <c r="AL474" s="212"/>
      <c r="AM474" s="212"/>
      <c r="AN474" s="212"/>
      <c r="AO474" s="212"/>
      <c r="AP474" s="196"/>
      <c r="AQ474" s="196"/>
      <c r="AR474" s="211"/>
      <c r="AS474" s="212"/>
      <c r="AT474" s="212"/>
      <c r="AU474" s="212"/>
      <c r="AW474" s="58"/>
      <c r="AX474" s="58"/>
      <c r="AY474" s="58"/>
      <c r="AZ474" s="58"/>
    </row>
    <row r="475" spans="1:52" s="185" customFormat="1" ht="15" customHeight="1" x14ac:dyDescent="0.25">
      <c r="A475" s="200"/>
      <c r="B475" s="211"/>
      <c r="C475" s="212">
        <f t="shared" si="44"/>
        <v>46.400000000000389</v>
      </c>
      <c r="D475" s="231">
        <f>15+[2]!STEPLOAD(5)</f>
        <v>20</v>
      </c>
      <c r="E475" s="212">
        <f t="shared" si="45"/>
        <v>45.716152331629665</v>
      </c>
      <c r="F475" s="212">
        <f t="shared" si="46"/>
        <v>0.5</v>
      </c>
      <c r="G475" s="212">
        <f>5</f>
        <v>5</v>
      </c>
      <c r="H475" s="212">
        <f>60</f>
        <v>60</v>
      </c>
      <c r="I475" s="212">
        <f t="shared" si="47"/>
        <v>0.9</v>
      </c>
      <c r="J475" s="212">
        <f>1</f>
        <v>1</v>
      </c>
      <c r="K475" s="212">
        <f t="shared" si="48"/>
        <v>4.1870000000000003</v>
      </c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  <c r="AA475" s="212"/>
      <c r="AB475" s="212"/>
      <c r="AC475" s="196"/>
      <c r="AD475" s="27"/>
      <c r="AE475" s="213"/>
      <c r="AF475" s="212">
        <f t="shared" si="49"/>
        <v>7.7972339972913751E-3</v>
      </c>
      <c r="AG475" s="212"/>
      <c r="AH475" s="212"/>
      <c r="AI475" s="212"/>
      <c r="AJ475" s="212"/>
      <c r="AK475" s="212"/>
      <c r="AL475" s="212"/>
      <c r="AM475" s="212"/>
      <c r="AN475" s="212"/>
      <c r="AO475" s="212"/>
      <c r="AP475" s="196"/>
      <c r="AQ475" s="196"/>
      <c r="AR475" s="211"/>
      <c r="AS475" s="212"/>
      <c r="AT475" s="212"/>
      <c r="AU475" s="212"/>
      <c r="AW475" s="58"/>
      <c r="AX475" s="58"/>
      <c r="AY475" s="58"/>
      <c r="AZ475" s="58"/>
    </row>
    <row r="476" spans="1:52" s="185" customFormat="1" ht="15" customHeight="1" x14ac:dyDescent="0.25">
      <c r="A476" s="200"/>
      <c r="B476" s="211"/>
      <c r="C476" s="212">
        <f t="shared" si="44"/>
        <v>46.500000000000391</v>
      </c>
      <c r="D476" s="231">
        <f>15+[2]!STEPLOAD(5)</f>
        <v>20</v>
      </c>
      <c r="E476" s="212">
        <f t="shared" si="45"/>
        <v>45.716932055029396</v>
      </c>
      <c r="F476" s="212">
        <f t="shared" si="46"/>
        <v>0.5</v>
      </c>
      <c r="G476" s="212">
        <f>5</f>
        <v>5</v>
      </c>
      <c r="H476" s="212">
        <f>60</f>
        <v>60</v>
      </c>
      <c r="I476" s="212">
        <f t="shared" si="47"/>
        <v>0.9</v>
      </c>
      <c r="J476" s="212">
        <f>1</f>
        <v>1</v>
      </c>
      <c r="K476" s="212">
        <f t="shared" si="48"/>
        <v>4.1870000000000003</v>
      </c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  <c r="AA476" s="212"/>
      <c r="AB476" s="212"/>
      <c r="AC476" s="196"/>
      <c r="AD476" s="27"/>
      <c r="AE476" s="213"/>
      <c r="AF476" s="212">
        <f t="shared" si="49"/>
        <v>7.7192616573182882E-3</v>
      </c>
      <c r="AG476" s="212"/>
      <c r="AH476" s="212"/>
      <c r="AI476" s="212"/>
      <c r="AJ476" s="212"/>
      <c r="AK476" s="212"/>
      <c r="AL476" s="212"/>
      <c r="AM476" s="212"/>
      <c r="AN476" s="212"/>
      <c r="AO476" s="212"/>
      <c r="AP476" s="196"/>
      <c r="AQ476" s="196"/>
      <c r="AR476" s="211"/>
      <c r="AS476" s="212"/>
      <c r="AT476" s="212"/>
      <c r="AU476" s="212"/>
      <c r="AW476" s="58"/>
      <c r="AX476" s="58"/>
      <c r="AY476" s="58"/>
      <c r="AZ476" s="58"/>
    </row>
    <row r="477" spans="1:52" s="185" customFormat="1" ht="15" customHeight="1" x14ac:dyDescent="0.25">
      <c r="A477" s="200"/>
      <c r="B477" s="211"/>
      <c r="C477" s="212">
        <f t="shared" si="44"/>
        <v>46.600000000000392</v>
      </c>
      <c r="D477" s="231">
        <f>15+[2]!STEPLOAD(5)</f>
        <v>20</v>
      </c>
      <c r="E477" s="212">
        <f t="shared" si="45"/>
        <v>45.717703981195129</v>
      </c>
      <c r="F477" s="212">
        <f t="shared" si="46"/>
        <v>0.5</v>
      </c>
      <c r="G477" s="212">
        <f>5</f>
        <v>5</v>
      </c>
      <c r="H477" s="212">
        <f>60</f>
        <v>60</v>
      </c>
      <c r="I477" s="212">
        <f t="shared" si="47"/>
        <v>0.9</v>
      </c>
      <c r="J477" s="212">
        <f>1</f>
        <v>1</v>
      </c>
      <c r="K477" s="212">
        <f t="shared" si="48"/>
        <v>4.1870000000000003</v>
      </c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  <c r="AA477" s="212"/>
      <c r="AB477" s="212"/>
      <c r="AC477" s="196"/>
      <c r="AD477" s="27"/>
      <c r="AE477" s="213"/>
      <c r="AF477" s="212">
        <f t="shared" si="49"/>
        <v>7.6420690407448255E-3</v>
      </c>
      <c r="AG477" s="212"/>
      <c r="AH477" s="212"/>
      <c r="AI477" s="212"/>
      <c r="AJ477" s="212"/>
      <c r="AK477" s="212"/>
      <c r="AL477" s="212"/>
      <c r="AM477" s="212"/>
      <c r="AN477" s="212"/>
      <c r="AO477" s="212"/>
      <c r="AP477" s="196"/>
      <c r="AQ477" s="196"/>
      <c r="AR477" s="211"/>
      <c r="AS477" s="212"/>
      <c r="AT477" s="212"/>
      <c r="AU477" s="212"/>
      <c r="AW477" s="58"/>
      <c r="AX477" s="58"/>
      <c r="AY477" s="58"/>
      <c r="AZ477" s="58"/>
    </row>
    <row r="478" spans="1:52" s="185" customFormat="1" ht="15" customHeight="1" x14ac:dyDescent="0.25">
      <c r="A478" s="200"/>
      <c r="B478" s="211"/>
      <c r="C478" s="212">
        <f t="shared" si="44"/>
        <v>46.700000000000394</v>
      </c>
      <c r="D478" s="231">
        <f>15+[2]!STEPLOAD(5)</f>
        <v>20</v>
      </c>
      <c r="E478" s="212">
        <f t="shared" si="45"/>
        <v>45.718468188099202</v>
      </c>
      <c r="F478" s="212">
        <f t="shared" si="46"/>
        <v>0.5</v>
      </c>
      <c r="G478" s="212">
        <f>5</f>
        <v>5</v>
      </c>
      <c r="H478" s="212">
        <f>60</f>
        <v>60</v>
      </c>
      <c r="I478" s="212">
        <f t="shared" si="47"/>
        <v>0.9</v>
      </c>
      <c r="J478" s="212">
        <f>1</f>
        <v>1</v>
      </c>
      <c r="K478" s="212">
        <f t="shared" si="48"/>
        <v>4.1870000000000003</v>
      </c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  <c r="AA478" s="212"/>
      <c r="AB478" s="212"/>
      <c r="AC478" s="196"/>
      <c r="AD478" s="27"/>
      <c r="AE478" s="213"/>
      <c r="AF478" s="212">
        <f t="shared" si="49"/>
        <v>7.5656483503379057E-3</v>
      </c>
      <c r="AG478" s="212"/>
      <c r="AH478" s="212"/>
      <c r="AI478" s="212"/>
      <c r="AJ478" s="212"/>
      <c r="AK478" s="212"/>
      <c r="AL478" s="212"/>
      <c r="AM478" s="212"/>
      <c r="AN478" s="212"/>
      <c r="AO478" s="212"/>
      <c r="AP478" s="196"/>
      <c r="AQ478" s="196"/>
      <c r="AR478" s="211"/>
      <c r="AS478" s="212"/>
      <c r="AT478" s="212"/>
      <c r="AU478" s="212"/>
      <c r="AW478" s="58"/>
      <c r="AX478" s="58"/>
      <c r="AY478" s="58"/>
      <c r="AZ478" s="58"/>
    </row>
    <row r="479" spans="1:52" s="185" customFormat="1" ht="15" customHeight="1" x14ac:dyDescent="0.25">
      <c r="A479" s="200"/>
      <c r="B479" s="211"/>
      <c r="C479" s="212">
        <f t="shared" si="44"/>
        <v>46.800000000000395</v>
      </c>
      <c r="D479" s="231">
        <f>15+[2]!STEPLOAD(5)</f>
        <v>20</v>
      </c>
      <c r="E479" s="212">
        <f t="shared" si="45"/>
        <v>45.719224752934238</v>
      </c>
      <c r="F479" s="212">
        <f t="shared" si="46"/>
        <v>0.5</v>
      </c>
      <c r="G479" s="212">
        <f>5</f>
        <v>5</v>
      </c>
      <c r="H479" s="212">
        <f>60</f>
        <v>60</v>
      </c>
      <c r="I479" s="212">
        <f t="shared" si="47"/>
        <v>0.9</v>
      </c>
      <c r="J479" s="212">
        <f>1</f>
        <v>1</v>
      </c>
      <c r="K479" s="212">
        <f t="shared" si="48"/>
        <v>4.1870000000000003</v>
      </c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  <c r="AA479" s="212"/>
      <c r="AB479" s="212"/>
      <c r="AC479" s="196"/>
      <c r="AD479" s="27"/>
      <c r="AE479" s="213"/>
      <c r="AF479" s="212">
        <f t="shared" si="49"/>
        <v>7.4899918668340781E-3</v>
      </c>
      <c r="AG479" s="212"/>
      <c r="AH479" s="212"/>
      <c r="AI479" s="212"/>
      <c r="AJ479" s="212"/>
      <c r="AK479" s="212"/>
      <c r="AL479" s="212"/>
      <c r="AM479" s="212"/>
      <c r="AN479" s="212"/>
      <c r="AO479" s="212"/>
      <c r="AP479" s="196"/>
      <c r="AQ479" s="196"/>
      <c r="AR479" s="211"/>
      <c r="AS479" s="212"/>
      <c r="AT479" s="212"/>
      <c r="AU479" s="212"/>
      <c r="AW479" s="58"/>
      <c r="AX479" s="58"/>
      <c r="AY479" s="58"/>
      <c r="AZ479" s="58"/>
    </row>
    <row r="480" spans="1:52" s="185" customFormat="1" ht="15" customHeight="1" x14ac:dyDescent="0.25">
      <c r="A480" s="200"/>
      <c r="B480" s="211"/>
      <c r="C480" s="212">
        <f t="shared" si="44"/>
        <v>46.900000000000396</v>
      </c>
      <c r="D480" s="231">
        <f>15+[2]!STEPLOAD(5)</f>
        <v>20</v>
      </c>
      <c r="E480" s="212">
        <f t="shared" si="45"/>
        <v>45.719973752120922</v>
      </c>
      <c r="F480" s="212">
        <f t="shared" si="46"/>
        <v>0.5</v>
      </c>
      <c r="G480" s="212">
        <f>5</f>
        <v>5</v>
      </c>
      <c r="H480" s="212">
        <f>60</f>
        <v>60</v>
      </c>
      <c r="I480" s="212">
        <f t="shared" si="47"/>
        <v>0.9</v>
      </c>
      <c r="J480" s="212">
        <f>1</f>
        <v>1</v>
      </c>
      <c r="K480" s="212">
        <f t="shared" si="48"/>
        <v>4.1870000000000003</v>
      </c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  <c r="AA480" s="212"/>
      <c r="AB480" s="212"/>
      <c r="AC480" s="196"/>
      <c r="AD480" s="27"/>
      <c r="AE480" s="213"/>
      <c r="AF480" s="212">
        <f t="shared" si="49"/>
        <v>7.4150919481659194E-3</v>
      </c>
      <c r="AG480" s="212"/>
      <c r="AH480" s="212"/>
      <c r="AI480" s="212"/>
      <c r="AJ480" s="212"/>
      <c r="AK480" s="212"/>
      <c r="AL480" s="212"/>
      <c r="AM480" s="212"/>
      <c r="AN480" s="212"/>
      <c r="AO480" s="212"/>
      <c r="AP480" s="196"/>
      <c r="AQ480" s="196"/>
      <c r="AR480" s="211"/>
      <c r="AS480" s="212"/>
      <c r="AT480" s="212"/>
      <c r="AU480" s="212"/>
      <c r="AW480" s="58"/>
      <c r="AX480" s="58"/>
      <c r="AY480" s="58"/>
      <c r="AZ480" s="58"/>
    </row>
    <row r="481" spans="1:52" s="185" customFormat="1" ht="15" customHeight="1" x14ac:dyDescent="0.25">
      <c r="A481" s="200"/>
      <c r="B481" s="211"/>
      <c r="C481" s="212">
        <f t="shared" si="44"/>
        <v>47.000000000000398</v>
      </c>
      <c r="D481" s="231">
        <f>15+[2]!STEPLOAD(5)</f>
        <v>20</v>
      </c>
      <c r="E481" s="212">
        <f t="shared" si="45"/>
        <v>45.720715261315739</v>
      </c>
      <c r="F481" s="212">
        <f t="shared" si="46"/>
        <v>0.5</v>
      </c>
      <c r="G481" s="212">
        <f>5</f>
        <v>5</v>
      </c>
      <c r="H481" s="212">
        <f>60</f>
        <v>60</v>
      </c>
      <c r="I481" s="212">
        <f t="shared" si="47"/>
        <v>0.9</v>
      </c>
      <c r="J481" s="212">
        <f>1</f>
        <v>1</v>
      </c>
      <c r="K481" s="212">
        <f t="shared" si="48"/>
        <v>4.1870000000000003</v>
      </c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  <c r="AA481" s="212"/>
      <c r="AB481" s="212"/>
      <c r="AC481" s="196"/>
      <c r="AD481" s="27"/>
      <c r="AE481" s="213"/>
      <c r="AF481" s="212">
        <f t="shared" si="49"/>
        <v>7.3409410286839893E-3</v>
      </c>
      <c r="AG481" s="212"/>
      <c r="AH481" s="212"/>
      <c r="AI481" s="212"/>
      <c r="AJ481" s="212"/>
      <c r="AK481" s="212"/>
      <c r="AL481" s="212"/>
      <c r="AM481" s="212"/>
      <c r="AN481" s="212"/>
      <c r="AO481" s="212"/>
      <c r="AP481" s="196"/>
      <c r="AQ481" s="196"/>
      <c r="AR481" s="211"/>
      <c r="AS481" s="212"/>
      <c r="AT481" s="212"/>
      <c r="AU481" s="212"/>
      <c r="AW481" s="58"/>
      <c r="AX481" s="58"/>
      <c r="AY481" s="58"/>
      <c r="AZ481" s="58"/>
    </row>
    <row r="482" spans="1:52" s="185" customFormat="1" ht="15" customHeight="1" x14ac:dyDescent="0.25">
      <c r="A482" s="200"/>
      <c r="B482" s="211"/>
      <c r="C482" s="212">
        <f t="shared" si="44"/>
        <v>47.100000000000399</v>
      </c>
      <c r="D482" s="231">
        <f>15+[2]!STEPLOAD(5)</f>
        <v>20</v>
      </c>
      <c r="E482" s="212">
        <f t="shared" si="45"/>
        <v>45.721449355418606</v>
      </c>
      <c r="F482" s="212">
        <f t="shared" si="46"/>
        <v>0.5</v>
      </c>
      <c r="G482" s="212">
        <f>5</f>
        <v>5</v>
      </c>
      <c r="H482" s="212">
        <f>60</f>
        <v>60</v>
      </c>
      <c r="I482" s="212">
        <f t="shared" si="47"/>
        <v>0.9</v>
      </c>
      <c r="J482" s="212">
        <f>1</f>
        <v>1</v>
      </c>
      <c r="K482" s="212">
        <f t="shared" si="48"/>
        <v>4.1870000000000003</v>
      </c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  <c r="AA482" s="212"/>
      <c r="AB482" s="212"/>
      <c r="AC482" s="196"/>
      <c r="AD482" s="27"/>
      <c r="AE482" s="213"/>
      <c r="AF482" s="212">
        <f t="shared" si="49"/>
        <v>7.2675316183974381E-3</v>
      </c>
      <c r="AG482" s="212"/>
      <c r="AH482" s="212"/>
      <c r="AI482" s="212"/>
      <c r="AJ482" s="212"/>
      <c r="AK482" s="212"/>
      <c r="AL482" s="212"/>
      <c r="AM482" s="212"/>
      <c r="AN482" s="212"/>
      <c r="AO482" s="212"/>
      <c r="AP482" s="196"/>
      <c r="AQ482" s="196"/>
      <c r="AR482" s="211"/>
      <c r="AS482" s="212"/>
      <c r="AT482" s="212"/>
      <c r="AU482" s="212"/>
      <c r="AW482" s="58"/>
      <c r="AX482" s="58"/>
      <c r="AY482" s="58"/>
      <c r="AZ482" s="58"/>
    </row>
    <row r="483" spans="1:52" s="185" customFormat="1" ht="15" customHeight="1" x14ac:dyDescent="0.25">
      <c r="A483" s="200"/>
      <c r="B483" s="211"/>
      <c r="C483" s="212">
        <f t="shared" si="44"/>
        <v>47.200000000000401</v>
      </c>
      <c r="D483" s="231">
        <f>15+[2]!STEPLOAD(5)</f>
        <v>20</v>
      </c>
      <c r="E483" s="212">
        <f t="shared" si="45"/>
        <v>45.722176108580449</v>
      </c>
      <c r="F483" s="212">
        <f t="shared" si="46"/>
        <v>0.5</v>
      </c>
      <c r="G483" s="212">
        <f>5</f>
        <v>5</v>
      </c>
      <c r="H483" s="212">
        <f>60</f>
        <v>60</v>
      </c>
      <c r="I483" s="212">
        <f t="shared" si="47"/>
        <v>0.9</v>
      </c>
      <c r="J483" s="212">
        <f>1</f>
        <v>1</v>
      </c>
      <c r="K483" s="212">
        <f t="shared" si="48"/>
        <v>4.1870000000000003</v>
      </c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  <c r="AA483" s="212"/>
      <c r="AB483" s="212"/>
      <c r="AC483" s="196"/>
      <c r="AD483" s="27"/>
      <c r="AE483" s="213"/>
      <c r="AF483" s="212">
        <f t="shared" si="49"/>
        <v>7.1948563022128376E-3</v>
      </c>
      <c r="AG483" s="212"/>
      <c r="AH483" s="212"/>
      <c r="AI483" s="212"/>
      <c r="AJ483" s="212"/>
      <c r="AK483" s="212"/>
      <c r="AL483" s="212"/>
      <c r="AM483" s="212"/>
      <c r="AN483" s="212"/>
      <c r="AO483" s="212"/>
      <c r="AP483" s="196"/>
      <c r="AQ483" s="196"/>
      <c r="AR483" s="211"/>
      <c r="AS483" s="212"/>
      <c r="AT483" s="212"/>
      <c r="AU483" s="212"/>
      <c r="AW483" s="58"/>
      <c r="AX483" s="58"/>
      <c r="AY483" s="58"/>
      <c r="AZ483" s="58"/>
    </row>
    <row r="484" spans="1:52" s="185" customFormat="1" ht="15" customHeight="1" x14ac:dyDescent="0.25">
      <c r="A484" s="200"/>
      <c r="B484" s="211"/>
      <c r="C484" s="212">
        <f t="shared" si="44"/>
        <v>47.300000000000402</v>
      </c>
      <c r="D484" s="231">
        <f>15+[2]!STEPLOAD(5)</f>
        <v>20</v>
      </c>
      <c r="E484" s="212">
        <f t="shared" si="45"/>
        <v>45.722895594210669</v>
      </c>
      <c r="F484" s="212">
        <f t="shared" si="46"/>
        <v>0.5</v>
      </c>
      <c r="G484" s="212">
        <f>5</f>
        <v>5</v>
      </c>
      <c r="H484" s="212">
        <f>60</f>
        <v>60</v>
      </c>
      <c r="I484" s="212">
        <f t="shared" si="47"/>
        <v>0.9</v>
      </c>
      <c r="J484" s="212">
        <f>1</f>
        <v>1</v>
      </c>
      <c r="K484" s="212">
        <f t="shared" si="48"/>
        <v>4.1870000000000003</v>
      </c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  <c r="AA484" s="212"/>
      <c r="AB484" s="212"/>
      <c r="AC484" s="196"/>
      <c r="AD484" s="27"/>
      <c r="AE484" s="213"/>
      <c r="AF484" s="212">
        <f t="shared" si="49"/>
        <v>7.1229077391907758E-3</v>
      </c>
      <c r="AG484" s="212"/>
      <c r="AH484" s="212"/>
      <c r="AI484" s="212"/>
      <c r="AJ484" s="212"/>
      <c r="AK484" s="212"/>
      <c r="AL484" s="212"/>
      <c r="AM484" s="212"/>
      <c r="AN484" s="212"/>
      <c r="AO484" s="212"/>
      <c r="AP484" s="196"/>
      <c r="AQ484" s="196"/>
      <c r="AR484" s="211"/>
      <c r="AS484" s="212"/>
      <c r="AT484" s="212"/>
      <c r="AU484" s="212"/>
      <c r="AW484" s="58"/>
      <c r="AX484" s="58"/>
      <c r="AY484" s="58"/>
      <c r="AZ484" s="58"/>
    </row>
    <row r="485" spans="1:52" s="185" customFormat="1" ht="15" customHeight="1" x14ac:dyDescent="0.25">
      <c r="A485" s="200"/>
      <c r="B485" s="211"/>
      <c r="C485" s="212">
        <f t="shared" si="44"/>
        <v>47.400000000000404</v>
      </c>
      <c r="D485" s="231">
        <f>15+[2]!STEPLOAD(5)</f>
        <v>20</v>
      </c>
      <c r="E485" s="212">
        <f t="shared" si="45"/>
        <v>45.723607884984588</v>
      </c>
      <c r="F485" s="212">
        <f t="shared" si="46"/>
        <v>0.5</v>
      </c>
      <c r="G485" s="212">
        <f>5</f>
        <v>5</v>
      </c>
      <c r="H485" s="212">
        <f>60</f>
        <v>60</v>
      </c>
      <c r="I485" s="212">
        <f t="shared" si="47"/>
        <v>0.9</v>
      </c>
      <c r="J485" s="212">
        <f>1</f>
        <v>1</v>
      </c>
      <c r="K485" s="212">
        <f t="shared" si="48"/>
        <v>4.1870000000000003</v>
      </c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  <c r="AA485" s="212"/>
      <c r="AB485" s="212"/>
      <c r="AC485" s="196"/>
      <c r="AD485" s="27"/>
      <c r="AE485" s="213"/>
      <c r="AF485" s="212">
        <f t="shared" si="49"/>
        <v>7.0516786617988991E-3</v>
      </c>
      <c r="AG485" s="212"/>
      <c r="AH485" s="212"/>
      <c r="AI485" s="212"/>
      <c r="AJ485" s="212"/>
      <c r="AK485" s="212"/>
      <c r="AL485" s="212"/>
      <c r="AM485" s="212"/>
      <c r="AN485" s="212"/>
      <c r="AO485" s="212"/>
      <c r="AP485" s="196"/>
      <c r="AQ485" s="196"/>
      <c r="AR485" s="211"/>
      <c r="AS485" s="212"/>
      <c r="AT485" s="212"/>
      <c r="AU485" s="212"/>
      <c r="AW485" s="58"/>
      <c r="AX485" s="58"/>
      <c r="AY485" s="58"/>
      <c r="AZ485" s="58"/>
    </row>
    <row r="486" spans="1:52" s="185" customFormat="1" ht="15" customHeight="1" x14ac:dyDescent="0.25">
      <c r="A486" s="200"/>
      <c r="B486" s="211"/>
      <c r="C486" s="212">
        <f t="shared" si="44"/>
        <v>47.500000000000405</v>
      </c>
      <c r="D486" s="231">
        <f>15+[2]!STEPLOAD(5)</f>
        <v>20</v>
      </c>
      <c r="E486" s="212">
        <f t="shared" si="45"/>
        <v>45.724313052850768</v>
      </c>
      <c r="F486" s="212">
        <f t="shared" si="46"/>
        <v>0.5</v>
      </c>
      <c r="G486" s="212">
        <f>5</f>
        <v>5</v>
      </c>
      <c r="H486" s="212">
        <f>60</f>
        <v>60</v>
      </c>
      <c r="I486" s="212">
        <f t="shared" si="47"/>
        <v>0.9</v>
      </c>
      <c r="J486" s="212">
        <f>1</f>
        <v>1</v>
      </c>
      <c r="K486" s="212">
        <f t="shared" si="48"/>
        <v>4.1870000000000003</v>
      </c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  <c r="AA486" s="212"/>
      <c r="AB486" s="212"/>
      <c r="AC486" s="196"/>
      <c r="AD486" s="27"/>
      <c r="AE486" s="213"/>
      <c r="AF486" s="212">
        <f t="shared" si="49"/>
        <v>6.9811618751809412E-3</v>
      </c>
      <c r="AG486" s="212"/>
      <c r="AH486" s="212"/>
      <c r="AI486" s="212"/>
      <c r="AJ486" s="212"/>
      <c r="AK486" s="212"/>
      <c r="AL486" s="212"/>
      <c r="AM486" s="212"/>
      <c r="AN486" s="212"/>
      <c r="AO486" s="212"/>
      <c r="AP486" s="196"/>
      <c r="AQ486" s="196"/>
      <c r="AR486" s="211"/>
      <c r="AS486" s="212"/>
      <c r="AT486" s="212"/>
      <c r="AU486" s="212"/>
      <c r="AW486" s="58"/>
      <c r="AX486" s="58"/>
      <c r="AY486" s="58"/>
      <c r="AZ486" s="58"/>
    </row>
    <row r="487" spans="1:52" s="185" customFormat="1" ht="15" customHeight="1" x14ac:dyDescent="0.25">
      <c r="A487" s="200"/>
      <c r="B487" s="211"/>
      <c r="C487" s="212">
        <f t="shared" si="44"/>
        <v>47.600000000000406</v>
      </c>
      <c r="D487" s="231">
        <f>15+[2]!STEPLOAD(5)</f>
        <v>20</v>
      </c>
      <c r="E487" s="212">
        <f t="shared" si="45"/>
        <v>45.725011169038282</v>
      </c>
      <c r="F487" s="212">
        <f t="shared" si="46"/>
        <v>0.5</v>
      </c>
      <c r="G487" s="212">
        <f>5</f>
        <v>5</v>
      </c>
      <c r="H487" s="212">
        <f>60</f>
        <v>60</v>
      </c>
      <c r="I487" s="212">
        <f t="shared" si="47"/>
        <v>0.9</v>
      </c>
      <c r="J487" s="212">
        <f>1</f>
        <v>1</v>
      </c>
      <c r="K487" s="212">
        <f t="shared" si="48"/>
        <v>4.1870000000000003</v>
      </c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  <c r="AA487" s="212"/>
      <c r="AB487" s="212"/>
      <c r="AC487" s="196"/>
      <c r="AD487" s="27"/>
      <c r="AE487" s="213"/>
      <c r="AF487" s="212">
        <f t="shared" si="49"/>
        <v>6.9113502564297491E-3</v>
      </c>
      <c r="AG487" s="212"/>
      <c r="AH487" s="212"/>
      <c r="AI487" s="212"/>
      <c r="AJ487" s="212"/>
      <c r="AK487" s="212"/>
      <c r="AL487" s="212"/>
      <c r="AM487" s="212"/>
      <c r="AN487" s="212"/>
      <c r="AO487" s="212"/>
      <c r="AP487" s="196"/>
      <c r="AQ487" s="196"/>
      <c r="AR487" s="211"/>
      <c r="AS487" s="212"/>
      <c r="AT487" s="212"/>
      <c r="AU487" s="212"/>
      <c r="AW487" s="58"/>
      <c r="AX487" s="58"/>
      <c r="AY487" s="58"/>
      <c r="AZ487" s="58"/>
    </row>
    <row r="488" spans="1:52" s="185" customFormat="1" ht="15" customHeight="1" x14ac:dyDescent="0.25">
      <c r="A488" s="200"/>
      <c r="B488" s="211"/>
      <c r="C488" s="212">
        <f t="shared" si="44"/>
        <v>47.700000000000408</v>
      </c>
      <c r="D488" s="231">
        <f>15+[2]!STEPLOAD(5)</f>
        <v>20</v>
      </c>
      <c r="E488" s="212">
        <f t="shared" si="45"/>
        <v>45.725702304063923</v>
      </c>
      <c r="F488" s="212">
        <f t="shared" si="46"/>
        <v>0.5</v>
      </c>
      <c r="G488" s="212">
        <f>5</f>
        <v>5</v>
      </c>
      <c r="H488" s="212">
        <f>60</f>
        <v>60</v>
      </c>
      <c r="I488" s="212">
        <f t="shared" si="47"/>
        <v>0.9</v>
      </c>
      <c r="J488" s="212">
        <f>1</f>
        <v>1</v>
      </c>
      <c r="K488" s="212">
        <f t="shared" si="48"/>
        <v>4.1870000000000003</v>
      </c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  <c r="AA488" s="212"/>
      <c r="AB488" s="212"/>
      <c r="AC488" s="196"/>
      <c r="AD488" s="27"/>
      <c r="AE488" s="213"/>
      <c r="AF488" s="212">
        <f t="shared" si="49"/>
        <v>6.8422367538656381E-3</v>
      </c>
      <c r="AG488" s="212"/>
      <c r="AH488" s="212"/>
      <c r="AI488" s="212"/>
      <c r="AJ488" s="212"/>
      <c r="AK488" s="212"/>
      <c r="AL488" s="212"/>
      <c r="AM488" s="212"/>
      <c r="AN488" s="212"/>
      <c r="AO488" s="212"/>
      <c r="AP488" s="196"/>
      <c r="AQ488" s="196"/>
      <c r="AR488" s="211"/>
      <c r="AS488" s="212"/>
      <c r="AT488" s="212"/>
      <c r="AU488" s="212"/>
      <c r="AW488" s="58"/>
      <c r="AX488" s="58"/>
      <c r="AY488" s="58"/>
      <c r="AZ488" s="58"/>
    </row>
    <row r="489" spans="1:52" s="185" customFormat="1" ht="15" customHeight="1" x14ac:dyDescent="0.25">
      <c r="A489" s="200"/>
      <c r="B489" s="211"/>
      <c r="C489" s="212">
        <f t="shared" si="44"/>
        <v>47.800000000000409</v>
      </c>
      <c r="D489" s="231">
        <f>15+[2]!STEPLOAD(5)</f>
        <v>20</v>
      </c>
      <c r="E489" s="212">
        <f t="shared" si="45"/>
        <v>45.726386527739308</v>
      </c>
      <c r="F489" s="212">
        <f t="shared" si="46"/>
        <v>0.5</v>
      </c>
      <c r="G489" s="212">
        <f>5</f>
        <v>5</v>
      </c>
      <c r="H489" s="212">
        <f>60</f>
        <v>60</v>
      </c>
      <c r="I489" s="212">
        <f t="shared" si="47"/>
        <v>0.9</v>
      </c>
      <c r="J489" s="212">
        <f>1</f>
        <v>1</v>
      </c>
      <c r="K489" s="212">
        <f t="shared" si="48"/>
        <v>4.1870000000000003</v>
      </c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  <c r="AA489" s="212"/>
      <c r="AB489" s="212"/>
      <c r="AC489" s="196"/>
      <c r="AD489" s="27"/>
      <c r="AE489" s="213"/>
      <c r="AF489" s="212">
        <f t="shared" si="49"/>
        <v>6.7738143863271816E-3</v>
      </c>
      <c r="AG489" s="212"/>
      <c r="AH489" s="212"/>
      <c r="AI489" s="212"/>
      <c r="AJ489" s="212"/>
      <c r="AK489" s="212"/>
      <c r="AL489" s="212"/>
      <c r="AM489" s="212"/>
      <c r="AN489" s="212"/>
      <c r="AO489" s="212"/>
      <c r="AP489" s="196"/>
      <c r="AQ489" s="196"/>
      <c r="AR489" s="211"/>
      <c r="AS489" s="212"/>
      <c r="AT489" s="212"/>
      <c r="AU489" s="212"/>
      <c r="AW489" s="58"/>
      <c r="AX489" s="58"/>
      <c r="AY489" s="58"/>
      <c r="AZ489" s="58"/>
    </row>
    <row r="490" spans="1:52" s="185" customFormat="1" ht="15" customHeight="1" x14ac:dyDescent="0.25">
      <c r="A490" s="200"/>
      <c r="B490" s="211"/>
      <c r="C490" s="212">
        <f t="shared" si="44"/>
        <v>47.900000000000411</v>
      </c>
      <c r="D490" s="231">
        <f>15+[2]!STEPLOAD(5)</f>
        <v>20</v>
      </c>
      <c r="E490" s="212">
        <f t="shared" si="45"/>
        <v>45.727063909177943</v>
      </c>
      <c r="F490" s="212">
        <f t="shared" si="46"/>
        <v>0.5</v>
      </c>
      <c r="G490" s="212">
        <f>5</f>
        <v>5</v>
      </c>
      <c r="H490" s="212">
        <f>60</f>
        <v>60</v>
      </c>
      <c r="I490" s="212">
        <f t="shared" si="47"/>
        <v>0.9</v>
      </c>
      <c r="J490" s="212">
        <f>1</f>
        <v>1</v>
      </c>
      <c r="K490" s="212">
        <f t="shared" si="48"/>
        <v>4.1870000000000003</v>
      </c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  <c r="AA490" s="212"/>
      <c r="AB490" s="212"/>
      <c r="AC490" s="196"/>
      <c r="AD490" s="27"/>
      <c r="AE490" s="213"/>
      <c r="AF490" s="212">
        <f t="shared" si="49"/>
        <v>6.7060762424637765E-3</v>
      </c>
      <c r="AG490" s="212"/>
      <c r="AH490" s="212"/>
      <c r="AI490" s="212"/>
      <c r="AJ490" s="212"/>
      <c r="AK490" s="212"/>
      <c r="AL490" s="212"/>
      <c r="AM490" s="212"/>
      <c r="AN490" s="212"/>
      <c r="AO490" s="212"/>
      <c r="AP490" s="196"/>
      <c r="AQ490" s="196"/>
      <c r="AR490" s="211"/>
      <c r="AS490" s="212"/>
      <c r="AT490" s="212"/>
      <c r="AU490" s="212"/>
      <c r="AW490" s="58"/>
      <c r="AX490" s="58"/>
      <c r="AY490" s="58"/>
      <c r="AZ490" s="58"/>
    </row>
    <row r="491" spans="1:52" s="185" customFormat="1" ht="15" customHeight="1" x14ac:dyDescent="0.25">
      <c r="A491" s="200"/>
      <c r="B491" s="211"/>
      <c r="C491" s="212">
        <f t="shared" si="44"/>
        <v>48.000000000000412</v>
      </c>
      <c r="D491" s="231">
        <f>15+[2]!STEPLOAD(5)</f>
        <v>20</v>
      </c>
      <c r="E491" s="212">
        <f t="shared" si="45"/>
        <v>45.727734516802187</v>
      </c>
      <c r="F491" s="212">
        <f t="shared" si="46"/>
        <v>0.5</v>
      </c>
      <c r="G491" s="212">
        <f>5</f>
        <v>5</v>
      </c>
      <c r="H491" s="212">
        <f>60</f>
        <v>60</v>
      </c>
      <c r="I491" s="212">
        <f t="shared" si="47"/>
        <v>0.9</v>
      </c>
      <c r="J491" s="212">
        <f>1</f>
        <v>1</v>
      </c>
      <c r="K491" s="212">
        <f t="shared" si="48"/>
        <v>4.1870000000000003</v>
      </c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  <c r="AA491" s="212"/>
      <c r="AB491" s="212"/>
      <c r="AC491" s="196"/>
      <c r="AD491" s="27"/>
      <c r="AE491" s="213"/>
      <c r="AF491" s="212">
        <f t="shared" si="49"/>
        <v>6.639015480039312E-3</v>
      </c>
      <c r="AG491" s="212"/>
      <c r="AH491" s="212"/>
      <c r="AI491" s="212"/>
      <c r="AJ491" s="212"/>
      <c r="AK491" s="212"/>
      <c r="AL491" s="212"/>
      <c r="AM491" s="212"/>
      <c r="AN491" s="212"/>
      <c r="AO491" s="212"/>
      <c r="AP491" s="196"/>
      <c r="AQ491" s="196"/>
      <c r="AR491" s="211"/>
      <c r="AS491" s="212"/>
      <c r="AT491" s="212"/>
      <c r="AU491" s="212"/>
      <c r="AW491" s="58"/>
      <c r="AX491" s="58"/>
      <c r="AY491" s="58"/>
      <c r="AZ491" s="58"/>
    </row>
    <row r="492" spans="1:52" s="185" customFormat="1" ht="15" customHeight="1" x14ac:dyDescent="0.25">
      <c r="A492" s="200"/>
      <c r="B492" s="211"/>
      <c r="C492" s="212">
        <f t="shared" si="44"/>
        <v>48.100000000000414</v>
      </c>
      <c r="D492" s="231">
        <f>15+[2]!STEPLOAD(5)</f>
        <v>20</v>
      </c>
      <c r="E492" s="212">
        <f t="shared" si="45"/>
        <v>45.728398418350189</v>
      </c>
      <c r="F492" s="212">
        <f t="shared" si="46"/>
        <v>0.5</v>
      </c>
      <c r="G492" s="212">
        <f>5</f>
        <v>5</v>
      </c>
      <c r="H492" s="212">
        <f>60</f>
        <v>60</v>
      </c>
      <c r="I492" s="212">
        <f t="shared" si="47"/>
        <v>0.9</v>
      </c>
      <c r="J492" s="212">
        <f>1</f>
        <v>1</v>
      </c>
      <c r="K492" s="212">
        <f t="shared" si="48"/>
        <v>4.1870000000000003</v>
      </c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  <c r="AA492" s="212"/>
      <c r="AB492" s="212"/>
      <c r="AC492" s="196"/>
      <c r="AD492" s="27"/>
      <c r="AE492" s="213"/>
      <c r="AF492" s="212">
        <f t="shared" si="49"/>
        <v>6.5726253252389455E-3</v>
      </c>
      <c r="AG492" s="212"/>
      <c r="AH492" s="212"/>
      <c r="AI492" s="212"/>
      <c r="AJ492" s="212"/>
      <c r="AK492" s="212"/>
      <c r="AL492" s="212"/>
      <c r="AM492" s="212"/>
      <c r="AN492" s="212"/>
      <c r="AO492" s="212"/>
      <c r="AP492" s="196"/>
      <c r="AQ492" s="196"/>
      <c r="AR492" s="211"/>
      <c r="AS492" s="212"/>
      <c r="AT492" s="212"/>
      <c r="AU492" s="212"/>
      <c r="AW492" s="58"/>
      <c r="AX492" s="58"/>
      <c r="AY492" s="58"/>
      <c r="AZ492" s="58"/>
    </row>
    <row r="493" spans="1:52" s="185" customFormat="1" ht="15" customHeight="1" x14ac:dyDescent="0.25">
      <c r="A493" s="200"/>
      <c r="B493" s="211"/>
      <c r="C493" s="212">
        <f t="shared" si="44"/>
        <v>48.200000000000415</v>
      </c>
      <c r="D493" s="231">
        <f>15+[2]!STEPLOAD(5)</f>
        <v>20</v>
      </c>
      <c r="E493" s="212">
        <f t="shared" si="45"/>
        <v>45.729055680882709</v>
      </c>
      <c r="F493" s="212">
        <f t="shared" si="46"/>
        <v>0.5</v>
      </c>
      <c r="G493" s="212">
        <f>5</f>
        <v>5</v>
      </c>
      <c r="H493" s="212">
        <f>60</f>
        <v>60</v>
      </c>
      <c r="I493" s="212">
        <f t="shared" si="47"/>
        <v>0.9</v>
      </c>
      <c r="J493" s="212">
        <f>1</f>
        <v>1</v>
      </c>
      <c r="K493" s="212">
        <f t="shared" si="48"/>
        <v>4.1870000000000003</v>
      </c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  <c r="AA493" s="212"/>
      <c r="AB493" s="212"/>
      <c r="AC493" s="196"/>
      <c r="AD493" s="27"/>
      <c r="AE493" s="213"/>
      <c r="AF493" s="212">
        <f t="shared" si="49"/>
        <v>6.5068990719869824E-3</v>
      </c>
      <c r="AG493" s="212"/>
      <c r="AH493" s="212"/>
      <c r="AI493" s="212"/>
      <c r="AJ493" s="212"/>
      <c r="AK493" s="212"/>
      <c r="AL493" s="212"/>
      <c r="AM493" s="212"/>
      <c r="AN493" s="212"/>
      <c r="AO493" s="212"/>
      <c r="AP493" s="196"/>
      <c r="AQ493" s="196"/>
      <c r="AR493" s="211"/>
      <c r="AS493" s="212"/>
      <c r="AT493" s="212"/>
      <c r="AU493" s="212"/>
      <c r="AW493" s="58"/>
      <c r="AX493" s="58"/>
      <c r="AY493" s="58"/>
      <c r="AZ493" s="58"/>
    </row>
    <row r="494" spans="1:52" s="185" customFormat="1" ht="15" customHeight="1" x14ac:dyDescent="0.25">
      <c r="A494" s="200"/>
      <c r="B494" s="211"/>
      <c r="C494" s="212">
        <f t="shared" si="44"/>
        <v>48.300000000000416</v>
      </c>
      <c r="D494" s="231">
        <f>15+[2]!STEPLOAD(5)</f>
        <v>20</v>
      </c>
      <c r="E494" s="212">
        <f t="shared" si="45"/>
        <v>45.729706370789906</v>
      </c>
      <c r="F494" s="212">
        <f t="shared" si="46"/>
        <v>0.5</v>
      </c>
      <c r="G494" s="212">
        <f>5</f>
        <v>5</v>
      </c>
      <c r="H494" s="212">
        <f>60</f>
        <v>60</v>
      </c>
      <c r="I494" s="212">
        <f t="shared" si="47"/>
        <v>0.9</v>
      </c>
      <c r="J494" s="212">
        <f>1</f>
        <v>1</v>
      </c>
      <c r="K494" s="212">
        <f t="shared" si="48"/>
        <v>4.1870000000000003</v>
      </c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  <c r="AA494" s="212"/>
      <c r="AB494" s="212"/>
      <c r="AC494" s="196"/>
      <c r="AD494" s="27"/>
      <c r="AE494" s="213"/>
      <c r="AF494" s="212">
        <f t="shared" si="49"/>
        <v>6.441830081267419E-3</v>
      </c>
      <c r="AG494" s="212"/>
      <c r="AH494" s="212"/>
      <c r="AI494" s="212"/>
      <c r="AJ494" s="212"/>
      <c r="AK494" s="212"/>
      <c r="AL494" s="212"/>
      <c r="AM494" s="212"/>
      <c r="AN494" s="212"/>
      <c r="AO494" s="212"/>
      <c r="AP494" s="196"/>
      <c r="AQ494" s="196"/>
      <c r="AR494" s="211"/>
      <c r="AS494" s="212"/>
      <c r="AT494" s="212"/>
      <c r="AU494" s="212"/>
      <c r="AW494" s="58"/>
      <c r="AX494" s="58"/>
      <c r="AY494" s="58"/>
      <c r="AZ494" s="58"/>
    </row>
    <row r="495" spans="1:52" s="185" customFormat="1" ht="15" customHeight="1" x14ac:dyDescent="0.25">
      <c r="A495" s="200"/>
      <c r="B495" s="211"/>
      <c r="C495" s="212">
        <f t="shared" si="44"/>
        <v>48.400000000000418</v>
      </c>
      <c r="D495" s="231">
        <f>15+[2]!STEPLOAD(5)</f>
        <v>20</v>
      </c>
      <c r="E495" s="212">
        <f t="shared" si="45"/>
        <v>45.730350553798033</v>
      </c>
      <c r="F495" s="212">
        <f t="shared" si="46"/>
        <v>0.5</v>
      </c>
      <c r="G495" s="212">
        <f>5</f>
        <v>5</v>
      </c>
      <c r="H495" s="212">
        <f>60</f>
        <v>60</v>
      </c>
      <c r="I495" s="212">
        <f t="shared" si="47"/>
        <v>0.9</v>
      </c>
      <c r="J495" s="212">
        <f>1</f>
        <v>1</v>
      </c>
      <c r="K495" s="212">
        <f t="shared" si="48"/>
        <v>4.1870000000000003</v>
      </c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  <c r="AA495" s="212"/>
      <c r="AB495" s="212"/>
      <c r="AC495" s="196"/>
      <c r="AD495" s="27"/>
      <c r="AE495" s="213"/>
      <c r="AF495" s="212">
        <f t="shared" si="49"/>
        <v>6.3774117804547004E-3</v>
      </c>
      <c r="AG495" s="212"/>
      <c r="AH495" s="212"/>
      <c r="AI495" s="212"/>
      <c r="AJ495" s="212"/>
      <c r="AK495" s="212"/>
      <c r="AL495" s="212"/>
      <c r="AM495" s="212"/>
      <c r="AN495" s="212"/>
      <c r="AO495" s="212"/>
      <c r="AP495" s="196"/>
      <c r="AQ495" s="196"/>
      <c r="AR495" s="211"/>
      <c r="AS495" s="212"/>
      <c r="AT495" s="212"/>
      <c r="AU495" s="212"/>
      <c r="AW495" s="58"/>
      <c r="AX495" s="58"/>
      <c r="AY495" s="58"/>
      <c r="AZ495" s="58"/>
    </row>
    <row r="496" spans="1:52" s="185" customFormat="1" ht="15" customHeight="1" x14ac:dyDescent="0.25">
      <c r="A496" s="200"/>
      <c r="B496" s="211"/>
      <c r="C496" s="212">
        <f t="shared" si="44"/>
        <v>48.500000000000419</v>
      </c>
      <c r="D496" s="231">
        <f>15+[2]!STEPLOAD(5)</f>
        <v>20</v>
      </c>
      <c r="E496" s="212">
        <f t="shared" si="45"/>
        <v>45.730988294976079</v>
      </c>
      <c r="F496" s="212">
        <f t="shared" si="46"/>
        <v>0.5</v>
      </c>
      <c r="G496" s="212">
        <f>5</f>
        <v>5</v>
      </c>
      <c r="H496" s="212">
        <f>60</f>
        <v>60</v>
      </c>
      <c r="I496" s="212">
        <f t="shared" si="47"/>
        <v>0.9</v>
      </c>
      <c r="J496" s="212">
        <f>1</f>
        <v>1</v>
      </c>
      <c r="K496" s="212">
        <f t="shared" si="48"/>
        <v>4.1870000000000003</v>
      </c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  <c r="AA496" s="212"/>
      <c r="AB496" s="212"/>
      <c r="AC496" s="196"/>
      <c r="AD496" s="27"/>
      <c r="AE496" s="213"/>
      <c r="AF496" s="212">
        <f t="shared" si="49"/>
        <v>6.313637662649807E-3</v>
      </c>
      <c r="AG496" s="212"/>
      <c r="AH496" s="212"/>
      <c r="AI496" s="212"/>
      <c r="AJ496" s="212"/>
      <c r="AK496" s="212"/>
      <c r="AL496" s="212"/>
      <c r="AM496" s="212"/>
      <c r="AN496" s="212"/>
      <c r="AO496" s="212"/>
      <c r="AP496" s="196"/>
      <c r="AQ496" s="196"/>
      <c r="AR496" s="211"/>
      <c r="AS496" s="212"/>
      <c r="AT496" s="212"/>
      <c r="AU496" s="212"/>
      <c r="AW496" s="58"/>
      <c r="AX496" s="58"/>
      <c r="AY496" s="58"/>
      <c r="AZ496" s="58"/>
    </row>
    <row r="497" spans="1:52" s="185" customFormat="1" ht="15" customHeight="1" x14ac:dyDescent="0.25">
      <c r="A497" s="200"/>
      <c r="B497" s="211"/>
      <c r="C497" s="212">
        <f t="shared" si="44"/>
        <v>48.600000000000421</v>
      </c>
      <c r="D497" s="231">
        <f>15+[2]!STEPLOAD(5)</f>
        <v>20</v>
      </c>
      <c r="E497" s="212">
        <f t="shared" si="45"/>
        <v>45.731619658742346</v>
      </c>
      <c r="F497" s="212">
        <f t="shared" si="46"/>
        <v>0.5</v>
      </c>
      <c r="G497" s="212">
        <f>5</f>
        <v>5</v>
      </c>
      <c r="H497" s="212">
        <f>60</f>
        <v>60</v>
      </c>
      <c r="I497" s="212">
        <f t="shared" si="47"/>
        <v>0.9</v>
      </c>
      <c r="J497" s="212">
        <f>1</f>
        <v>1</v>
      </c>
      <c r="K497" s="212">
        <f t="shared" si="48"/>
        <v>4.1870000000000003</v>
      </c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212"/>
      <c r="Y497" s="212"/>
      <c r="Z497" s="212"/>
      <c r="AA497" s="212"/>
      <c r="AB497" s="212"/>
      <c r="AC497" s="196"/>
      <c r="AD497" s="27"/>
      <c r="AE497" s="213"/>
      <c r="AF497" s="212">
        <f t="shared" si="49"/>
        <v>6.2505012860234466E-3</v>
      </c>
      <c r="AG497" s="212"/>
      <c r="AH497" s="212"/>
      <c r="AI497" s="212"/>
      <c r="AJ497" s="212"/>
      <c r="AK497" s="212"/>
      <c r="AL497" s="212"/>
      <c r="AM497" s="212"/>
      <c r="AN497" s="212"/>
      <c r="AO497" s="212"/>
      <c r="AP497" s="196"/>
      <c r="AQ497" s="196"/>
      <c r="AR497" s="211"/>
      <c r="AS497" s="212"/>
      <c r="AT497" s="212"/>
      <c r="AU497" s="212"/>
      <c r="AW497" s="58"/>
      <c r="AX497" s="58"/>
      <c r="AY497" s="58"/>
      <c r="AZ497" s="58"/>
    </row>
    <row r="498" spans="1:52" s="185" customFormat="1" ht="15" customHeight="1" x14ac:dyDescent="0.25">
      <c r="A498" s="200"/>
      <c r="B498" s="211"/>
      <c r="C498" s="212">
        <f t="shared" si="44"/>
        <v>48.700000000000422</v>
      </c>
      <c r="D498" s="231">
        <f>15+[2]!STEPLOAD(5)</f>
        <v>20</v>
      </c>
      <c r="E498" s="212">
        <f t="shared" si="45"/>
        <v>45.732244708870951</v>
      </c>
      <c r="F498" s="212">
        <f t="shared" si="46"/>
        <v>0.5</v>
      </c>
      <c r="G498" s="212">
        <f>5</f>
        <v>5</v>
      </c>
      <c r="H498" s="212">
        <f>60</f>
        <v>60</v>
      </c>
      <c r="I498" s="212">
        <f t="shared" si="47"/>
        <v>0.9</v>
      </c>
      <c r="J498" s="212">
        <f>1</f>
        <v>1</v>
      </c>
      <c r="K498" s="212">
        <f t="shared" si="48"/>
        <v>4.1870000000000003</v>
      </c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212"/>
      <c r="Y498" s="212"/>
      <c r="Z498" s="212"/>
      <c r="AA498" s="212"/>
      <c r="AB498" s="212"/>
      <c r="AC498" s="196"/>
      <c r="AD498" s="27"/>
      <c r="AE498" s="213"/>
      <c r="AF498" s="212">
        <f t="shared" si="49"/>
        <v>6.1879962731627991E-3</v>
      </c>
      <c r="AG498" s="212"/>
      <c r="AH498" s="212"/>
      <c r="AI498" s="212"/>
      <c r="AJ498" s="212"/>
      <c r="AK498" s="212"/>
      <c r="AL498" s="212"/>
      <c r="AM498" s="212"/>
      <c r="AN498" s="212"/>
      <c r="AO498" s="212"/>
      <c r="AP498" s="196"/>
      <c r="AQ498" s="196"/>
      <c r="AR498" s="211"/>
      <c r="AS498" s="212"/>
      <c r="AT498" s="212"/>
      <c r="AU498" s="212"/>
      <c r="AW498" s="58"/>
      <c r="AX498" s="58"/>
      <c r="AY498" s="58"/>
      <c r="AZ498" s="58"/>
    </row>
    <row r="499" spans="1:52" s="185" customFormat="1" ht="15" customHeight="1" x14ac:dyDescent="0.25">
      <c r="A499" s="200"/>
      <c r="B499" s="211"/>
      <c r="C499" s="212">
        <f t="shared" si="44"/>
        <v>48.800000000000423</v>
      </c>
      <c r="D499" s="231">
        <f>15+[2]!STEPLOAD(5)</f>
        <v>20</v>
      </c>
      <c r="E499" s="212">
        <f t="shared" si="45"/>
        <v>45.732863508498269</v>
      </c>
      <c r="F499" s="212">
        <f t="shared" si="46"/>
        <v>0.5</v>
      </c>
      <c r="G499" s="212">
        <f>5</f>
        <v>5</v>
      </c>
      <c r="H499" s="212">
        <f>60</f>
        <v>60</v>
      </c>
      <c r="I499" s="212">
        <f t="shared" si="47"/>
        <v>0.9</v>
      </c>
      <c r="J499" s="212">
        <f>1</f>
        <v>1</v>
      </c>
      <c r="K499" s="212">
        <f t="shared" si="48"/>
        <v>4.1870000000000003</v>
      </c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212"/>
      <c r="Y499" s="212"/>
      <c r="Z499" s="212"/>
      <c r="AA499" s="212"/>
      <c r="AB499" s="212"/>
      <c r="AC499" s="196"/>
      <c r="AD499" s="27"/>
      <c r="AE499" s="213"/>
      <c r="AF499" s="212">
        <f t="shared" si="49"/>
        <v>6.12611631043114E-3</v>
      </c>
      <c r="AG499" s="212"/>
      <c r="AH499" s="212"/>
      <c r="AI499" s="212"/>
      <c r="AJ499" s="212"/>
      <c r="AK499" s="212"/>
      <c r="AL499" s="212"/>
      <c r="AM499" s="212"/>
      <c r="AN499" s="212"/>
      <c r="AO499" s="212"/>
      <c r="AP499" s="196"/>
      <c r="AQ499" s="196"/>
      <c r="AR499" s="211"/>
      <c r="AS499" s="212"/>
      <c r="AT499" s="212"/>
      <c r="AU499" s="212"/>
      <c r="AW499" s="58"/>
      <c r="AX499" s="58"/>
      <c r="AY499" s="58"/>
      <c r="AZ499" s="58"/>
    </row>
    <row r="500" spans="1:52" s="185" customFormat="1" ht="15" customHeight="1" x14ac:dyDescent="0.25">
      <c r="A500" s="200"/>
      <c r="B500" s="211"/>
      <c r="C500" s="212">
        <f t="shared" si="44"/>
        <v>48.900000000000425</v>
      </c>
      <c r="D500" s="231">
        <f>15+[2]!STEPLOAD(5)</f>
        <v>20</v>
      </c>
      <c r="E500" s="212">
        <f t="shared" si="45"/>
        <v>45.733476120129311</v>
      </c>
      <c r="F500" s="212">
        <f t="shared" si="46"/>
        <v>0.5</v>
      </c>
      <c r="G500" s="212">
        <f>5</f>
        <v>5</v>
      </c>
      <c r="H500" s="212">
        <f>60</f>
        <v>60</v>
      </c>
      <c r="I500" s="212">
        <f t="shared" si="47"/>
        <v>0.9</v>
      </c>
      <c r="J500" s="212">
        <f>1</f>
        <v>1</v>
      </c>
      <c r="K500" s="212">
        <f t="shared" si="48"/>
        <v>4.1870000000000003</v>
      </c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212"/>
      <c r="Y500" s="212"/>
      <c r="Z500" s="212"/>
      <c r="AA500" s="212"/>
      <c r="AB500" s="212"/>
      <c r="AC500" s="196"/>
      <c r="AD500" s="27"/>
      <c r="AE500" s="213"/>
      <c r="AF500" s="212">
        <f t="shared" si="49"/>
        <v>6.0648551473270196E-3</v>
      </c>
      <c r="AG500" s="212"/>
      <c r="AH500" s="212"/>
      <c r="AI500" s="212"/>
      <c r="AJ500" s="212"/>
      <c r="AK500" s="212"/>
      <c r="AL500" s="212"/>
      <c r="AM500" s="212"/>
      <c r="AN500" s="212"/>
      <c r="AO500" s="212"/>
      <c r="AP500" s="196"/>
      <c r="AQ500" s="196"/>
      <c r="AR500" s="211"/>
      <c r="AS500" s="212"/>
      <c r="AT500" s="212"/>
      <c r="AU500" s="212"/>
      <c r="AW500" s="58"/>
      <c r="AX500" s="58"/>
      <c r="AY500" s="58"/>
      <c r="AZ500" s="58"/>
    </row>
    <row r="501" spans="1:52" s="185" customFormat="1" ht="15" customHeight="1" x14ac:dyDescent="0.25">
      <c r="A501" s="200"/>
      <c r="B501" s="211"/>
      <c r="C501" s="212">
        <f t="shared" si="44"/>
        <v>49.000000000000426</v>
      </c>
      <c r="D501" s="231">
        <f>15+[2]!STEPLOAD(5)</f>
        <v>20</v>
      </c>
      <c r="E501" s="212">
        <f t="shared" si="45"/>
        <v>45.734082605644041</v>
      </c>
      <c r="F501" s="212">
        <f t="shared" si="46"/>
        <v>0.5</v>
      </c>
      <c r="G501" s="212">
        <f>5</f>
        <v>5</v>
      </c>
      <c r="H501" s="212">
        <f>60</f>
        <v>60</v>
      </c>
      <c r="I501" s="212">
        <f t="shared" si="47"/>
        <v>0.9</v>
      </c>
      <c r="J501" s="212">
        <f>1</f>
        <v>1</v>
      </c>
      <c r="K501" s="212">
        <f t="shared" si="48"/>
        <v>4.1870000000000003</v>
      </c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  <c r="AA501" s="212"/>
      <c r="AB501" s="212"/>
      <c r="AC501" s="196"/>
      <c r="AD501" s="27"/>
      <c r="AE501" s="213"/>
      <c r="AF501" s="212">
        <f t="shared" si="49"/>
        <v>6.0042065958536561E-3</v>
      </c>
      <c r="AG501" s="212"/>
      <c r="AH501" s="212"/>
      <c r="AI501" s="212"/>
      <c r="AJ501" s="212"/>
      <c r="AK501" s="212"/>
      <c r="AL501" s="212"/>
      <c r="AM501" s="212"/>
      <c r="AN501" s="212"/>
      <c r="AO501" s="212"/>
      <c r="AP501" s="196"/>
      <c r="AQ501" s="196"/>
      <c r="AR501" s="211"/>
      <c r="AS501" s="212"/>
      <c r="AT501" s="212"/>
      <c r="AU501" s="212"/>
      <c r="AW501" s="58"/>
      <c r="AX501" s="58"/>
      <c r="AY501" s="58"/>
      <c r="AZ501" s="58"/>
    </row>
    <row r="502" spans="1:52" s="185" customFormat="1" ht="15" customHeight="1" x14ac:dyDescent="0.25">
      <c r="A502" s="200"/>
      <c r="B502" s="211"/>
      <c r="C502" s="212">
        <f t="shared" si="44"/>
        <v>49.100000000000428</v>
      </c>
      <c r="D502" s="231">
        <f>15+[2]!STEPLOAD(5)</f>
        <v>20</v>
      </c>
      <c r="E502" s="212">
        <f t="shared" si="45"/>
        <v>45.734683026303628</v>
      </c>
      <c r="F502" s="212">
        <f t="shared" si="46"/>
        <v>0.5</v>
      </c>
      <c r="G502" s="212">
        <f>5</f>
        <v>5</v>
      </c>
      <c r="H502" s="212">
        <f>60</f>
        <v>60</v>
      </c>
      <c r="I502" s="212">
        <f t="shared" si="47"/>
        <v>0.9</v>
      </c>
      <c r="J502" s="212">
        <f>1</f>
        <v>1</v>
      </c>
      <c r="K502" s="212">
        <f t="shared" si="48"/>
        <v>4.1870000000000003</v>
      </c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  <c r="AA502" s="212"/>
      <c r="AB502" s="212"/>
      <c r="AC502" s="196"/>
      <c r="AD502" s="27"/>
      <c r="AE502" s="213"/>
      <c r="AF502" s="212">
        <f t="shared" si="49"/>
        <v>5.9441645298949908E-3</v>
      </c>
      <c r="AG502" s="212"/>
      <c r="AH502" s="212"/>
      <c r="AI502" s="212"/>
      <c r="AJ502" s="212"/>
      <c r="AK502" s="212"/>
      <c r="AL502" s="212"/>
      <c r="AM502" s="212"/>
      <c r="AN502" s="212"/>
      <c r="AO502" s="212"/>
      <c r="AP502" s="196"/>
      <c r="AQ502" s="196"/>
      <c r="AR502" s="211"/>
      <c r="AS502" s="212"/>
      <c r="AT502" s="212"/>
      <c r="AU502" s="212"/>
      <c r="AW502" s="58"/>
      <c r="AX502" s="58"/>
      <c r="AY502" s="58"/>
      <c r="AZ502" s="58"/>
    </row>
    <row r="503" spans="1:52" s="185" customFormat="1" ht="15" customHeight="1" x14ac:dyDescent="0.25">
      <c r="A503" s="200"/>
      <c r="B503" s="211"/>
      <c r="C503" s="212">
        <f t="shared" si="44"/>
        <v>49.200000000000429</v>
      </c>
      <c r="D503" s="231">
        <f>15+[2]!STEPLOAD(5)</f>
        <v>20</v>
      </c>
      <c r="E503" s="212">
        <f t="shared" si="45"/>
        <v>45.735277442756619</v>
      </c>
      <c r="F503" s="212">
        <f t="shared" si="46"/>
        <v>0.5</v>
      </c>
      <c r="G503" s="212">
        <f>5</f>
        <v>5</v>
      </c>
      <c r="H503" s="212">
        <f>60</f>
        <v>60</v>
      </c>
      <c r="I503" s="212">
        <f t="shared" si="47"/>
        <v>0.9</v>
      </c>
      <c r="J503" s="212">
        <f>1</f>
        <v>1</v>
      </c>
      <c r="K503" s="212">
        <f t="shared" si="48"/>
        <v>4.1870000000000003</v>
      </c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212"/>
      <c r="Y503" s="212"/>
      <c r="Z503" s="212"/>
      <c r="AA503" s="212"/>
      <c r="AB503" s="212"/>
      <c r="AC503" s="196"/>
      <c r="AD503" s="27"/>
      <c r="AE503" s="213"/>
      <c r="AF503" s="212">
        <f t="shared" si="49"/>
        <v>5.884722884596183E-3</v>
      </c>
      <c r="AG503" s="212"/>
      <c r="AH503" s="212"/>
      <c r="AI503" s="212"/>
      <c r="AJ503" s="212"/>
      <c r="AK503" s="212"/>
      <c r="AL503" s="212"/>
      <c r="AM503" s="212"/>
      <c r="AN503" s="212"/>
      <c r="AO503" s="212"/>
      <c r="AP503" s="196"/>
      <c r="AQ503" s="196"/>
      <c r="AR503" s="211"/>
      <c r="AS503" s="212"/>
      <c r="AT503" s="212"/>
      <c r="AU503" s="212"/>
      <c r="AW503" s="58"/>
      <c r="AX503" s="58"/>
      <c r="AY503" s="58"/>
      <c r="AZ503" s="58"/>
    </row>
    <row r="504" spans="1:52" s="185" customFormat="1" ht="15" customHeight="1" x14ac:dyDescent="0.25">
      <c r="A504" s="200"/>
      <c r="B504" s="211"/>
      <c r="C504" s="212">
        <f t="shared" si="44"/>
        <v>49.300000000000431</v>
      </c>
      <c r="D504" s="231">
        <f>15+[2]!STEPLOAD(5)</f>
        <v>20</v>
      </c>
      <c r="E504" s="212">
        <f t="shared" si="45"/>
        <v>45.735865915045082</v>
      </c>
      <c r="F504" s="212">
        <f t="shared" si="46"/>
        <v>0.5</v>
      </c>
      <c r="G504" s="212">
        <f>5</f>
        <v>5</v>
      </c>
      <c r="H504" s="212">
        <f>60</f>
        <v>60</v>
      </c>
      <c r="I504" s="212">
        <f t="shared" si="47"/>
        <v>0.9</v>
      </c>
      <c r="J504" s="212">
        <f>1</f>
        <v>1</v>
      </c>
      <c r="K504" s="212">
        <f t="shared" si="48"/>
        <v>4.1870000000000003</v>
      </c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212"/>
      <c r="Y504" s="212"/>
      <c r="Z504" s="212"/>
      <c r="AA504" s="212"/>
      <c r="AB504" s="212"/>
      <c r="AC504" s="196"/>
      <c r="AD504" s="27"/>
      <c r="AE504" s="213"/>
      <c r="AF504" s="212">
        <f t="shared" si="49"/>
        <v>5.8258756557498792E-3</v>
      </c>
      <c r="AG504" s="212"/>
      <c r="AH504" s="212"/>
      <c r="AI504" s="212"/>
      <c r="AJ504" s="212"/>
      <c r="AK504" s="212"/>
      <c r="AL504" s="212"/>
      <c r="AM504" s="212"/>
      <c r="AN504" s="212"/>
      <c r="AO504" s="212"/>
      <c r="AP504" s="196"/>
      <c r="AQ504" s="196"/>
      <c r="AR504" s="211"/>
      <c r="AS504" s="212"/>
      <c r="AT504" s="212"/>
      <c r="AU504" s="212"/>
      <c r="AW504" s="58"/>
      <c r="AX504" s="58"/>
      <c r="AY504" s="58"/>
      <c r="AZ504" s="58"/>
    </row>
    <row r="505" spans="1:52" s="185" customFormat="1" ht="15" customHeight="1" x14ac:dyDescent="0.25">
      <c r="A505" s="200"/>
      <c r="B505" s="211"/>
      <c r="C505" s="212">
        <f t="shared" si="44"/>
        <v>49.400000000000432</v>
      </c>
      <c r="D505" s="231">
        <f>15+[2]!STEPLOAD(5)</f>
        <v>20</v>
      </c>
      <c r="E505" s="212">
        <f t="shared" si="45"/>
        <v>45.736448502610656</v>
      </c>
      <c r="F505" s="212">
        <f t="shared" si="46"/>
        <v>0.5</v>
      </c>
      <c r="G505" s="212">
        <f>5</f>
        <v>5</v>
      </c>
      <c r="H505" s="212">
        <f>60</f>
        <v>60</v>
      </c>
      <c r="I505" s="212">
        <f t="shared" si="47"/>
        <v>0.9</v>
      </c>
      <c r="J505" s="212">
        <f>1</f>
        <v>1</v>
      </c>
      <c r="K505" s="212">
        <f t="shared" si="48"/>
        <v>4.1870000000000003</v>
      </c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212"/>
      <c r="Y505" s="212"/>
      <c r="Z505" s="212"/>
      <c r="AA505" s="212"/>
      <c r="AB505" s="212"/>
      <c r="AC505" s="196"/>
      <c r="AD505" s="27"/>
      <c r="AE505" s="213"/>
      <c r="AF505" s="212">
        <f t="shared" si="49"/>
        <v>5.7676168991922516E-3</v>
      </c>
      <c r="AG505" s="212"/>
      <c r="AH505" s="212"/>
      <c r="AI505" s="212"/>
      <c r="AJ505" s="212"/>
      <c r="AK505" s="212"/>
      <c r="AL505" s="212"/>
      <c r="AM505" s="212"/>
      <c r="AN505" s="212"/>
      <c r="AO505" s="212"/>
      <c r="AP505" s="196"/>
      <c r="AQ505" s="196"/>
      <c r="AR505" s="211"/>
      <c r="AS505" s="212"/>
      <c r="AT505" s="212"/>
      <c r="AU505" s="212"/>
      <c r="AW505" s="58"/>
      <c r="AX505" s="58"/>
      <c r="AY505" s="58"/>
      <c r="AZ505" s="58"/>
    </row>
    <row r="506" spans="1:52" s="185" customFormat="1" ht="15" customHeight="1" x14ac:dyDescent="0.25">
      <c r="A506" s="200"/>
      <c r="B506" s="211"/>
      <c r="C506" s="212">
        <f t="shared" si="44"/>
        <v>49.500000000000433</v>
      </c>
      <c r="D506" s="231">
        <f>15+[2]!STEPLOAD(5)</f>
        <v>20</v>
      </c>
      <c r="E506" s="212">
        <f t="shared" si="45"/>
        <v>45.737025264300577</v>
      </c>
      <c r="F506" s="212">
        <f t="shared" si="46"/>
        <v>0.5</v>
      </c>
      <c r="G506" s="212">
        <f>5</f>
        <v>5</v>
      </c>
      <c r="H506" s="212">
        <f>60</f>
        <v>60</v>
      </c>
      <c r="I506" s="212">
        <f t="shared" si="47"/>
        <v>0.9</v>
      </c>
      <c r="J506" s="212">
        <f>1</f>
        <v>1</v>
      </c>
      <c r="K506" s="212">
        <f t="shared" si="48"/>
        <v>4.1870000000000003</v>
      </c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212"/>
      <c r="Y506" s="212"/>
      <c r="Z506" s="212"/>
      <c r="AA506" s="212"/>
      <c r="AB506" s="212"/>
      <c r="AC506" s="196"/>
      <c r="AD506" s="27"/>
      <c r="AE506" s="213"/>
      <c r="AF506" s="212">
        <f t="shared" si="49"/>
        <v>5.7099407302003691E-3</v>
      </c>
      <c r="AG506" s="212"/>
      <c r="AH506" s="212"/>
      <c r="AI506" s="212"/>
      <c r="AJ506" s="212"/>
      <c r="AK506" s="212"/>
      <c r="AL506" s="212"/>
      <c r="AM506" s="212"/>
      <c r="AN506" s="212"/>
      <c r="AO506" s="212"/>
      <c r="AP506" s="196"/>
      <c r="AQ506" s="196"/>
      <c r="AR506" s="211"/>
      <c r="AS506" s="212"/>
      <c r="AT506" s="212"/>
      <c r="AU506" s="212"/>
      <c r="AW506" s="58"/>
      <c r="AX506" s="58"/>
      <c r="AY506" s="58"/>
      <c r="AZ506" s="58"/>
    </row>
    <row r="507" spans="1:52" s="185" customFormat="1" ht="15" customHeight="1" x14ac:dyDescent="0.25">
      <c r="A507" s="200"/>
      <c r="B507" s="211"/>
      <c r="C507" s="212">
        <f t="shared" si="44"/>
        <v>49.600000000000435</v>
      </c>
      <c r="D507" s="231">
        <f>15+[2]!STEPLOAD(5)</f>
        <v>20</v>
      </c>
      <c r="E507" s="212">
        <f t="shared" si="45"/>
        <v>45.7375962583736</v>
      </c>
      <c r="F507" s="212">
        <f t="shared" si="46"/>
        <v>0.5</v>
      </c>
      <c r="G507" s="212">
        <f>5</f>
        <v>5</v>
      </c>
      <c r="H507" s="212">
        <f>60</f>
        <v>60</v>
      </c>
      <c r="I507" s="212">
        <f t="shared" si="47"/>
        <v>0.9</v>
      </c>
      <c r="J507" s="212">
        <f>1</f>
        <v>1</v>
      </c>
      <c r="K507" s="212">
        <f t="shared" si="48"/>
        <v>4.1870000000000003</v>
      </c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  <c r="AA507" s="212"/>
      <c r="AB507" s="212"/>
      <c r="AC507" s="196"/>
      <c r="AD507" s="27"/>
      <c r="AE507" s="213"/>
      <c r="AF507" s="212">
        <f t="shared" si="49"/>
        <v>5.6528413228980057E-3</v>
      </c>
      <c r="AG507" s="212"/>
      <c r="AH507" s="212"/>
      <c r="AI507" s="212"/>
      <c r="AJ507" s="212"/>
      <c r="AK507" s="212"/>
      <c r="AL507" s="212"/>
      <c r="AM507" s="212"/>
      <c r="AN507" s="212"/>
      <c r="AO507" s="212"/>
      <c r="AP507" s="196"/>
      <c r="AQ507" s="196"/>
      <c r="AR507" s="211"/>
      <c r="AS507" s="212"/>
      <c r="AT507" s="212"/>
      <c r="AU507" s="212"/>
      <c r="AW507" s="58"/>
      <c r="AX507" s="58"/>
      <c r="AY507" s="58"/>
      <c r="AZ507" s="58"/>
    </row>
    <row r="508" spans="1:52" s="185" customFormat="1" ht="15" customHeight="1" x14ac:dyDescent="0.25">
      <c r="A508" s="200"/>
      <c r="B508" s="211"/>
      <c r="C508" s="212">
        <f t="shared" si="44"/>
        <v>49.700000000000436</v>
      </c>
      <c r="D508" s="231">
        <f>15+[2]!STEPLOAD(5)</f>
        <v>20</v>
      </c>
      <c r="E508" s="212">
        <f t="shared" si="45"/>
        <v>45.738161542505892</v>
      </c>
      <c r="F508" s="212">
        <f t="shared" si="46"/>
        <v>0.5</v>
      </c>
      <c r="G508" s="212">
        <f>5</f>
        <v>5</v>
      </c>
      <c r="H508" s="212">
        <f>60</f>
        <v>60</v>
      </c>
      <c r="I508" s="212">
        <f t="shared" si="47"/>
        <v>0.9</v>
      </c>
      <c r="J508" s="212">
        <f>1</f>
        <v>1</v>
      </c>
      <c r="K508" s="212">
        <f t="shared" si="48"/>
        <v>4.1870000000000003</v>
      </c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212"/>
      <c r="Y508" s="212"/>
      <c r="Z508" s="212"/>
      <c r="AA508" s="212"/>
      <c r="AB508" s="212"/>
      <c r="AC508" s="196"/>
      <c r="AD508" s="27"/>
      <c r="AE508" s="213"/>
      <c r="AF508" s="212">
        <f t="shared" si="49"/>
        <v>5.5963129096685549E-3</v>
      </c>
      <c r="AG508" s="212"/>
      <c r="AH508" s="212"/>
      <c r="AI508" s="212"/>
      <c r="AJ508" s="212"/>
      <c r="AK508" s="212"/>
      <c r="AL508" s="212"/>
      <c r="AM508" s="212"/>
      <c r="AN508" s="212"/>
      <c r="AO508" s="212"/>
      <c r="AP508" s="196"/>
      <c r="AQ508" s="196"/>
      <c r="AR508" s="211"/>
      <c r="AS508" s="212"/>
      <c r="AT508" s="212"/>
      <c r="AU508" s="212"/>
      <c r="AW508" s="58"/>
      <c r="AX508" s="58"/>
      <c r="AY508" s="58"/>
      <c r="AZ508" s="58"/>
    </row>
    <row r="509" spans="1:52" s="185" customFormat="1" ht="15" customHeight="1" x14ac:dyDescent="0.25">
      <c r="A509" s="200"/>
      <c r="B509" s="211"/>
      <c r="C509" s="212">
        <f t="shared" si="44"/>
        <v>49.800000000000438</v>
      </c>
      <c r="D509" s="231">
        <f>15+[2]!STEPLOAD(5)</f>
        <v>20</v>
      </c>
      <c r="E509" s="212">
        <f t="shared" si="45"/>
        <v>45.738721173796861</v>
      </c>
      <c r="F509" s="212">
        <f t="shared" si="46"/>
        <v>0.5</v>
      </c>
      <c r="G509" s="212">
        <f>5</f>
        <v>5</v>
      </c>
      <c r="H509" s="212">
        <f>60</f>
        <v>60</v>
      </c>
      <c r="I509" s="212">
        <f t="shared" si="47"/>
        <v>0.9</v>
      </c>
      <c r="J509" s="212">
        <f>1</f>
        <v>1</v>
      </c>
      <c r="K509" s="212">
        <f t="shared" si="48"/>
        <v>4.1870000000000003</v>
      </c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212"/>
      <c r="Y509" s="212"/>
      <c r="Z509" s="212"/>
      <c r="AA509" s="212"/>
      <c r="AB509" s="212"/>
      <c r="AC509" s="196"/>
      <c r="AD509" s="27"/>
      <c r="AE509" s="213"/>
      <c r="AF509" s="212">
        <f t="shared" si="49"/>
        <v>5.5403497805719404E-3</v>
      </c>
      <c r="AG509" s="212"/>
      <c r="AH509" s="212"/>
      <c r="AI509" s="212"/>
      <c r="AJ509" s="212"/>
      <c r="AK509" s="212"/>
      <c r="AL509" s="212"/>
      <c r="AM509" s="212"/>
      <c r="AN509" s="212"/>
      <c r="AO509" s="212"/>
      <c r="AP509" s="196"/>
      <c r="AQ509" s="196"/>
      <c r="AR509" s="211"/>
      <c r="AS509" s="212"/>
      <c r="AT509" s="212"/>
      <c r="AU509" s="212"/>
      <c r="AW509" s="58"/>
      <c r="AX509" s="58"/>
      <c r="AY509" s="58"/>
      <c r="AZ509" s="58"/>
    </row>
    <row r="510" spans="1:52" s="185" customFormat="1" ht="15" customHeight="1" x14ac:dyDescent="0.25">
      <c r="A510" s="200"/>
      <c r="B510" s="211"/>
      <c r="C510" s="212">
        <f t="shared" si="44"/>
        <v>49.900000000000439</v>
      </c>
      <c r="D510" s="231">
        <f>15+[2]!STEPLOAD(5)</f>
        <v>20</v>
      </c>
      <c r="E510" s="212">
        <f t="shared" si="45"/>
        <v>45.73927520877492</v>
      </c>
      <c r="F510" s="212">
        <f t="shared" si="46"/>
        <v>0.5</v>
      </c>
      <c r="G510" s="212">
        <f>5</f>
        <v>5</v>
      </c>
      <c r="H510" s="212">
        <f>60</f>
        <v>60</v>
      </c>
      <c r="I510" s="212">
        <f t="shared" si="47"/>
        <v>0.9</v>
      </c>
      <c r="J510" s="212">
        <f>1</f>
        <v>1</v>
      </c>
      <c r="K510" s="212">
        <f t="shared" si="48"/>
        <v>4.1870000000000003</v>
      </c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212"/>
      <c r="Y510" s="212"/>
      <c r="Z510" s="212"/>
      <c r="AA510" s="212"/>
      <c r="AB510" s="212"/>
      <c r="AC510" s="196"/>
      <c r="AD510" s="27"/>
      <c r="AE510" s="213"/>
      <c r="AF510" s="212">
        <f t="shared" si="49"/>
        <v>5.4849462827659679E-3</v>
      </c>
      <c r="AG510" s="212"/>
      <c r="AH510" s="212"/>
      <c r="AI510" s="212"/>
      <c r="AJ510" s="212"/>
      <c r="AK510" s="212"/>
      <c r="AL510" s="212"/>
      <c r="AM510" s="212"/>
      <c r="AN510" s="212"/>
      <c r="AO510" s="212"/>
      <c r="AP510" s="196"/>
      <c r="AQ510" s="196"/>
      <c r="AR510" s="211"/>
      <c r="AS510" s="212"/>
      <c r="AT510" s="212"/>
      <c r="AU510" s="212"/>
      <c r="AW510" s="58"/>
      <c r="AX510" s="58"/>
      <c r="AY510" s="58"/>
      <c r="AZ510" s="58"/>
    </row>
    <row r="511" spans="1:52" s="185" customFormat="1" ht="15" customHeight="1" x14ac:dyDescent="0.25">
      <c r="A511" s="200"/>
      <c r="B511" s="211"/>
      <c r="C511" s="212">
        <f t="shared" si="44"/>
        <v>50.000000000000441</v>
      </c>
      <c r="D511" s="231">
        <f>15+[2]!STEPLOAD(5)</f>
        <v>20</v>
      </c>
      <c r="E511" s="212">
        <f t="shared" si="45"/>
        <v>45.739823703403196</v>
      </c>
      <c r="F511" s="212">
        <f t="shared" si="46"/>
        <v>0.5</v>
      </c>
      <c r="G511" s="212">
        <f>5</f>
        <v>5</v>
      </c>
      <c r="H511" s="212">
        <f>60</f>
        <v>60</v>
      </c>
      <c r="I511" s="212">
        <f t="shared" si="47"/>
        <v>0.9</v>
      </c>
      <c r="J511" s="212">
        <f>1</f>
        <v>1</v>
      </c>
      <c r="K511" s="212">
        <f t="shared" si="48"/>
        <v>4.1870000000000003</v>
      </c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  <c r="AA511" s="212"/>
      <c r="AB511" s="212"/>
      <c r="AC511" s="196"/>
      <c r="AD511" s="27"/>
      <c r="AE511" s="213"/>
      <c r="AF511" s="212">
        <f t="shared" si="49"/>
        <v>5.4300968199383348E-3</v>
      </c>
      <c r="AG511" s="212"/>
      <c r="AH511" s="212"/>
      <c r="AI511" s="212"/>
      <c r="AJ511" s="212"/>
      <c r="AK511" s="212"/>
      <c r="AL511" s="212"/>
      <c r="AM511" s="212"/>
      <c r="AN511" s="212"/>
      <c r="AO511" s="212"/>
      <c r="AP511" s="196"/>
      <c r="AQ511" s="196"/>
      <c r="AR511" s="211"/>
      <c r="AS511" s="212"/>
      <c r="AT511" s="212"/>
      <c r="AU511" s="212"/>
      <c r="AW511" s="58"/>
      <c r="AX511" s="58"/>
      <c r="AY511" s="58"/>
      <c r="AZ511" s="58"/>
    </row>
    <row r="512" spans="1:52" s="185" customFormat="1" ht="15" customHeight="1" x14ac:dyDescent="0.25">
      <c r="A512" s="200"/>
      <c r="B512" s="211"/>
      <c r="C512" s="212">
        <f t="shared" si="44"/>
        <v>50.100000000000442</v>
      </c>
      <c r="D512" s="231">
        <f>15+[2]!STEPLOAD(5)</f>
        <v>20</v>
      </c>
      <c r="E512" s="212">
        <f t="shared" si="45"/>
        <v>45.740366713085187</v>
      </c>
      <c r="F512" s="212">
        <f t="shared" si="46"/>
        <v>0.5</v>
      </c>
      <c r="G512" s="212">
        <f>5</f>
        <v>5</v>
      </c>
      <c r="H512" s="212">
        <f>60</f>
        <v>60</v>
      </c>
      <c r="I512" s="212">
        <f t="shared" si="47"/>
        <v>0.9</v>
      </c>
      <c r="J512" s="212">
        <f>1</f>
        <v>1</v>
      </c>
      <c r="K512" s="212">
        <f t="shared" si="48"/>
        <v>4.1870000000000003</v>
      </c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212"/>
      <c r="Y512" s="212"/>
      <c r="Z512" s="212"/>
      <c r="AA512" s="212"/>
      <c r="AB512" s="212"/>
      <c r="AC512" s="196"/>
      <c r="AD512" s="27"/>
      <c r="AE512" s="213"/>
      <c r="AF512" s="212">
        <f t="shared" si="49"/>
        <v>5.3757958517390847E-3</v>
      </c>
      <c r="AG512" s="212"/>
      <c r="AH512" s="212"/>
      <c r="AI512" s="212"/>
      <c r="AJ512" s="212"/>
      <c r="AK512" s="212"/>
      <c r="AL512" s="212"/>
      <c r="AM512" s="212"/>
      <c r="AN512" s="212"/>
      <c r="AO512" s="212"/>
      <c r="AP512" s="196"/>
      <c r="AQ512" s="196"/>
      <c r="AR512" s="211"/>
      <c r="AS512" s="212"/>
      <c r="AT512" s="212"/>
      <c r="AU512" s="212"/>
      <c r="AW512" s="58"/>
      <c r="AX512" s="58"/>
      <c r="AY512" s="58"/>
      <c r="AZ512" s="58"/>
    </row>
    <row r="513" spans="1:52" s="185" customFormat="1" ht="15" customHeight="1" x14ac:dyDescent="0.25">
      <c r="A513" s="200"/>
      <c r="B513" s="211"/>
      <c r="C513" s="212">
        <f t="shared" si="44"/>
        <v>50.200000000000443</v>
      </c>
      <c r="D513" s="231">
        <f>15+[2]!STEPLOAD(5)</f>
        <v>20</v>
      </c>
      <c r="E513" s="212">
        <f t="shared" si="45"/>
        <v>45.740904292670358</v>
      </c>
      <c r="F513" s="212">
        <f t="shared" si="46"/>
        <v>0.5</v>
      </c>
      <c r="G513" s="212">
        <f>5</f>
        <v>5</v>
      </c>
      <c r="H513" s="212">
        <f>60</f>
        <v>60</v>
      </c>
      <c r="I513" s="212">
        <f t="shared" si="47"/>
        <v>0.9</v>
      </c>
      <c r="J513" s="212">
        <f>1</f>
        <v>1</v>
      </c>
      <c r="K513" s="212">
        <f t="shared" si="48"/>
        <v>4.1870000000000003</v>
      </c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212"/>
      <c r="Y513" s="212"/>
      <c r="Z513" s="212"/>
      <c r="AA513" s="212"/>
      <c r="AB513" s="212"/>
      <c r="AC513" s="196"/>
      <c r="AD513" s="27"/>
      <c r="AE513" s="213"/>
      <c r="AF513" s="212">
        <f t="shared" si="49"/>
        <v>5.3220378932219425E-3</v>
      </c>
      <c r="AG513" s="212"/>
      <c r="AH513" s="212"/>
      <c r="AI513" s="212"/>
      <c r="AJ513" s="212"/>
      <c r="AK513" s="212"/>
      <c r="AL513" s="212"/>
      <c r="AM513" s="212"/>
      <c r="AN513" s="212"/>
      <c r="AO513" s="212"/>
      <c r="AP513" s="196"/>
      <c r="AQ513" s="196"/>
      <c r="AR513" s="211"/>
      <c r="AS513" s="212"/>
      <c r="AT513" s="212"/>
      <c r="AU513" s="212"/>
      <c r="AW513" s="58"/>
      <c r="AX513" s="58"/>
      <c r="AY513" s="58"/>
      <c r="AZ513" s="58"/>
    </row>
    <row r="514" spans="1:52" s="185" customFormat="1" ht="15" customHeight="1" x14ac:dyDescent="0.25">
      <c r="A514" s="200"/>
      <c r="B514" s="211"/>
      <c r="C514" s="212">
        <f t="shared" si="44"/>
        <v>50.300000000000445</v>
      </c>
      <c r="D514" s="231">
        <f>15+[2]!STEPLOAD(5)</f>
        <v>20</v>
      </c>
      <c r="E514" s="212">
        <f t="shared" si="45"/>
        <v>45.741436496459677</v>
      </c>
      <c r="F514" s="212">
        <f t="shared" si="46"/>
        <v>0.5</v>
      </c>
      <c r="G514" s="212">
        <f>5</f>
        <v>5</v>
      </c>
      <c r="H514" s="212">
        <f>60</f>
        <v>60</v>
      </c>
      <c r="I514" s="212">
        <f t="shared" si="47"/>
        <v>0.9</v>
      </c>
      <c r="J514" s="212">
        <f>1</f>
        <v>1</v>
      </c>
      <c r="K514" s="212">
        <f t="shared" si="48"/>
        <v>4.1870000000000003</v>
      </c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212"/>
      <c r="Y514" s="212"/>
      <c r="Z514" s="212"/>
      <c r="AA514" s="212"/>
      <c r="AB514" s="212"/>
      <c r="AC514" s="196"/>
      <c r="AD514" s="27"/>
      <c r="AE514" s="213"/>
      <c r="AF514" s="212">
        <f t="shared" si="49"/>
        <v>5.2688175142900917E-3</v>
      </c>
      <c r="AG514" s="212"/>
      <c r="AH514" s="212"/>
      <c r="AI514" s="212"/>
      <c r="AJ514" s="212"/>
      <c r="AK514" s="212"/>
      <c r="AL514" s="212"/>
      <c r="AM514" s="212"/>
      <c r="AN514" s="212"/>
      <c r="AO514" s="212"/>
      <c r="AP514" s="196"/>
      <c r="AQ514" s="196"/>
      <c r="AR514" s="211"/>
      <c r="AS514" s="212"/>
      <c r="AT514" s="212"/>
      <c r="AU514" s="212"/>
      <c r="AW514" s="58"/>
      <c r="AX514" s="58"/>
      <c r="AY514" s="58"/>
      <c r="AZ514" s="58"/>
    </row>
    <row r="515" spans="1:52" s="185" customFormat="1" ht="15" customHeight="1" x14ac:dyDescent="0.25">
      <c r="A515" s="200"/>
      <c r="B515" s="211"/>
      <c r="C515" s="212">
        <f t="shared" si="44"/>
        <v>50.400000000000446</v>
      </c>
      <c r="D515" s="231">
        <f>15+[2]!STEPLOAD(5)</f>
        <v>20</v>
      </c>
      <c r="E515" s="212">
        <f t="shared" si="45"/>
        <v>45.741963378211103</v>
      </c>
      <c r="F515" s="212">
        <f t="shared" si="46"/>
        <v>0.5</v>
      </c>
      <c r="G515" s="212">
        <f>5</f>
        <v>5</v>
      </c>
      <c r="H515" s="212">
        <f>60</f>
        <v>60</v>
      </c>
      <c r="I515" s="212">
        <f t="shared" si="47"/>
        <v>0.9</v>
      </c>
      <c r="J515" s="212">
        <f>1</f>
        <v>1</v>
      </c>
      <c r="K515" s="212">
        <f t="shared" si="48"/>
        <v>4.1870000000000003</v>
      </c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212"/>
      <c r="Y515" s="212"/>
      <c r="Z515" s="212"/>
      <c r="AA515" s="212"/>
      <c r="AB515" s="212"/>
      <c r="AC515" s="196"/>
      <c r="AD515" s="27"/>
      <c r="AE515" s="213"/>
      <c r="AF515" s="212">
        <f t="shared" si="49"/>
        <v>5.2161293391477237E-3</v>
      </c>
      <c r="AG515" s="212"/>
      <c r="AH515" s="212"/>
      <c r="AI515" s="212"/>
      <c r="AJ515" s="212"/>
      <c r="AK515" s="212"/>
      <c r="AL515" s="212"/>
      <c r="AM515" s="212"/>
      <c r="AN515" s="212"/>
      <c r="AO515" s="212"/>
      <c r="AP515" s="196"/>
      <c r="AQ515" s="196"/>
      <c r="AR515" s="211"/>
      <c r="AS515" s="212"/>
      <c r="AT515" s="212"/>
      <c r="AU515" s="212"/>
      <c r="AW515" s="58"/>
      <c r="AX515" s="58"/>
      <c r="AY515" s="58"/>
      <c r="AZ515" s="58"/>
    </row>
    <row r="516" spans="1:52" s="185" customFormat="1" ht="15" customHeight="1" x14ac:dyDescent="0.25">
      <c r="A516" s="200"/>
      <c r="B516" s="211"/>
      <c r="C516" s="212">
        <f t="shared" si="44"/>
        <v>50.500000000000448</v>
      </c>
      <c r="D516" s="231">
        <f>15+[2]!STEPLOAD(5)</f>
        <v>20</v>
      </c>
      <c r="E516" s="212">
        <f t="shared" si="45"/>
        <v>45.74248499114502</v>
      </c>
      <c r="F516" s="212">
        <f t="shared" si="46"/>
        <v>0.5</v>
      </c>
      <c r="G516" s="212">
        <f>5</f>
        <v>5</v>
      </c>
      <c r="H516" s="212">
        <f>60</f>
        <v>60</v>
      </c>
      <c r="I516" s="212">
        <f t="shared" si="47"/>
        <v>0.9</v>
      </c>
      <c r="J516" s="212">
        <f>1</f>
        <v>1</v>
      </c>
      <c r="K516" s="212">
        <f t="shared" si="48"/>
        <v>4.1870000000000003</v>
      </c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212"/>
      <c r="Y516" s="212"/>
      <c r="Z516" s="212"/>
      <c r="AA516" s="212"/>
      <c r="AB516" s="212"/>
      <c r="AC516" s="196"/>
      <c r="AD516" s="27"/>
      <c r="AE516" s="213"/>
      <c r="AF516" s="212">
        <f t="shared" si="49"/>
        <v>5.1639680457560289E-3</v>
      </c>
      <c r="AG516" s="212"/>
      <c r="AH516" s="212"/>
      <c r="AI516" s="212"/>
      <c r="AJ516" s="212"/>
      <c r="AK516" s="212"/>
      <c r="AL516" s="212"/>
      <c r="AM516" s="212"/>
      <c r="AN516" s="212"/>
      <c r="AO516" s="212"/>
      <c r="AP516" s="196"/>
      <c r="AQ516" s="196"/>
      <c r="AR516" s="211"/>
      <c r="AS516" s="212"/>
      <c r="AT516" s="212"/>
      <c r="AU516" s="212"/>
      <c r="AW516" s="58"/>
      <c r="AX516" s="58"/>
      <c r="AY516" s="58"/>
      <c r="AZ516" s="58"/>
    </row>
    <row r="517" spans="1:52" s="185" customFormat="1" ht="15" customHeight="1" x14ac:dyDescent="0.25">
      <c r="A517" s="200"/>
      <c r="B517" s="211"/>
      <c r="C517" s="212">
        <f t="shared" si="44"/>
        <v>50.600000000000449</v>
      </c>
      <c r="D517" s="231">
        <f>15+[2]!STEPLOAD(5)</f>
        <v>20</v>
      </c>
      <c r="E517" s="212">
        <f t="shared" si="45"/>
        <v>45.743001387949597</v>
      </c>
      <c r="F517" s="212">
        <f t="shared" si="46"/>
        <v>0.5</v>
      </c>
      <c r="G517" s="212">
        <f>5</f>
        <v>5</v>
      </c>
      <c r="H517" s="212">
        <f>60</f>
        <v>60</v>
      </c>
      <c r="I517" s="212">
        <f t="shared" si="47"/>
        <v>0.9</v>
      </c>
      <c r="J517" s="212">
        <f>1</f>
        <v>1</v>
      </c>
      <c r="K517" s="212">
        <f t="shared" si="48"/>
        <v>4.1870000000000003</v>
      </c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212"/>
      <c r="Y517" s="212"/>
      <c r="Z517" s="212"/>
      <c r="AA517" s="212"/>
      <c r="AB517" s="212"/>
      <c r="AC517" s="196"/>
      <c r="AD517" s="27"/>
      <c r="AE517" s="213"/>
      <c r="AF517" s="212">
        <f t="shared" si="49"/>
        <v>5.1123283652980689E-3</v>
      </c>
      <c r="AG517" s="212"/>
      <c r="AH517" s="212"/>
      <c r="AI517" s="212"/>
      <c r="AJ517" s="212"/>
      <c r="AK517" s="212"/>
      <c r="AL517" s="212"/>
      <c r="AM517" s="212"/>
      <c r="AN517" s="212"/>
      <c r="AO517" s="212"/>
      <c r="AP517" s="196"/>
      <c r="AQ517" s="196"/>
      <c r="AR517" s="211"/>
      <c r="AS517" s="212"/>
      <c r="AT517" s="212"/>
      <c r="AU517" s="212"/>
      <c r="AW517" s="58"/>
      <c r="AX517" s="58"/>
      <c r="AY517" s="58"/>
      <c r="AZ517" s="58"/>
    </row>
    <row r="518" spans="1:52" s="185" customFormat="1" ht="15" customHeight="1" x14ac:dyDescent="0.25">
      <c r="A518" s="200"/>
      <c r="B518" s="211"/>
      <c r="C518" s="212">
        <f t="shared" si="44"/>
        <v>50.70000000000045</v>
      </c>
      <c r="D518" s="231">
        <f>15+[2]!STEPLOAD(5)</f>
        <v>20</v>
      </c>
      <c r="E518" s="212">
        <f t="shared" si="45"/>
        <v>45.743512620786127</v>
      </c>
      <c r="F518" s="212">
        <f t="shared" si="46"/>
        <v>0.5</v>
      </c>
      <c r="G518" s="212">
        <f>5</f>
        <v>5</v>
      </c>
      <c r="H518" s="212">
        <f>60</f>
        <v>60</v>
      </c>
      <c r="I518" s="212">
        <f t="shared" si="47"/>
        <v>0.9</v>
      </c>
      <c r="J518" s="212">
        <f>1</f>
        <v>1</v>
      </c>
      <c r="K518" s="212">
        <f t="shared" si="48"/>
        <v>4.1870000000000003</v>
      </c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  <c r="AA518" s="212"/>
      <c r="AB518" s="212"/>
      <c r="AC518" s="196"/>
      <c r="AD518" s="27"/>
      <c r="AE518" s="213"/>
      <c r="AF518" s="212">
        <f t="shared" si="49"/>
        <v>5.0612050816449816E-3</v>
      </c>
      <c r="AG518" s="212"/>
      <c r="AH518" s="212"/>
      <c r="AI518" s="212"/>
      <c r="AJ518" s="212"/>
      <c r="AK518" s="212"/>
      <c r="AL518" s="212"/>
      <c r="AM518" s="212"/>
      <c r="AN518" s="212"/>
      <c r="AO518" s="212"/>
      <c r="AP518" s="196"/>
      <c r="AQ518" s="196"/>
      <c r="AR518" s="211"/>
      <c r="AS518" s="212"/>
      <c r="AT518" s="212"/>
      <c r="AU518" s="212"/>
      <c r="AW518" s="58"/>
      <c r="AX518" s="58"/>
      <c r="AY518" s="58"/>
      <c r="AZ518" s="58"/>
    </row>
    <row r="519" spans="1:52" s="185" customFormat="1" ht="15" customHeight="1" x14ac:dyDescent="0.25">
      <c r="A519" s="200"/>
      <c r="B519" s="211"/>
      <c r="C519" s="212">
        <f t="shared" si="44"/>
        <v>50.800000000000452</v>
      </c>
      <c r="D519" s="231">
        <f>15+[2]!STEPLOAD(5)</f>
        <v>20</v>
      </c>
      <c r="E519" s="212">
        <f t="shared" si="45"/>
        <v>45.74401874129429</v>
      </c>
      <c r="F519" s="212">
        <f t="shared" si="46"/>
        <v>0.5</v>
      </c>
      <c r="G519" s="212">
        <f>5</f>
        <v>5</v>
      </c>
      <c r="H519" s="212">
        <f>60</f>
        <v>60</v>
      </c>
      <c r="I519" s="212">
        <f t="shared" si="47"/>
        <v>0.9</v>
      </c>
      <c r="J519" s="212">
        <f>1</f>
        <v>1</v>
      </c>
      <c r="K519" s="212">
        <f t="shared" si="48"/>
        <v>4.1870000000000003</v>
      </c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212"/>
      <c r="Y519" s="212"/>
      <c r="Z519" s="212"/>
      <c r="AA519" s="212"/>
      <c r="AB519" s="212"/>
      <c r="AC519" s="196"/>
      <c r="AD519" s="27"/>
      <c r="AE519" s="213"/>
      <c r="AF519" s="212">
        <f t="shared" si="49"/>
        <v>5.0105930308288471E-3</v>
      </c>
      <c r="AG519" s="212"/>
      <c r="AH519" s="212"/>
      <c r="AI519" s="212"/>
      <c r="AJ519" s="212"/>
      <c r="AK519" s="212"/>
      <c r="AL519" s="212"/>
      <c r="AM519" s="212"/>
      <c r="AN519" s="212"/>
      <c r="AO519" s="212"/>
      <c r="AP519" s="196"/>
      <c r="AQ519" s="196"/>
      <c r="AR519" s="211"/>
      <c r="AS519" s="212"/>
      <c r="AT519" s="212"/>
      <c r="AU519" s="212"/>
      <c r="AW519" s="58"/>
      <c r="AX519" s="58"/>
      <c r="AY519" s="58"/>
      <c r="AZ519" s="58"/>
    </row>
    <row r="520" spans="1:52" s="185" customFormat="1" ht="15" customHeight="1" x14ac:dyDescent="0.25">
      <c r="A520" s="200"/>
      <c r="B520" s="211"/>
      <c r="C520" s="212">
        <f t="shared" si="44"/>
        <v>50.900000000000453</v>
      </c>
      <c r="D520" s="231">
        <f>15+[2]!STEPLOAD(5)</f>
        <v>20</v>
      </c>
      <c r="E520" s="212">
        <f t="shared" si="45"/>
        <v>45.744519800597374</v>
      </c>
      <c r="F520" s="212">
        <f t="shared" si="46"/>
        <v>0.5</v>
      </c>
      <c r="G520" s="212">
        <f>5</f>
        <v>5</v>
      </c>
      <c r="H520" s="212">
        <f>60</f>
        <v>60</v>
      </c>
      <c r="I520" s="212">
        <f t="shared" si="47"/>
        <v>0.9</v>
      </c>
      <c r="J520" s="212">
        <f>1</f>
        <v>1</v>
      </c>
      <c r="K520" s="212">
        <f t="shared" si="48"/>
        <v>4.1870000000000003</v>
      </c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212"/>
      <c r="Y520" s="212"/>
      <c r="Z520" s="212"/>
      <c r="AA520" s="212"/>
      <c r="AB520" s="212"/>
      <c r="AC520" s="196"/>
      <c r="AD520" s="27"/>
      <c r="AE520" s="213"/>
      <c r="AF520" s="212">
        <f t="shared" si="49"/>
        <v>4.9604871005204387E-3</v>
      </c>
      <c r="AG520" s="212"/>
      <c r="AH520" s="212"/>
      <c r="AI520" s="212"/>
      <c r="AJ520" s="212"/>
      <c r="AK520" s="212"/>
      <c r="AL520" s="212"/>
      <c r="AM520" s="212"/>
      <c r="AN520" s="212"/>
      <c r="AO520" s="212"/>
      <c r="AP520" s="196"/>
      <c r="AQ520" s="196"/>
      <c r="AR520" s="211"/>
      <c r="AS520" s="212"/>
      <c r="AT520" s="212"/>
      <c r="AU520" s="212"/>
      <c r="AW520" s="58"/>
      <c r="AX520" s="58"/>
      <c r="AY520" s="58"/>
      <c r="AZ520" s="58"/>
    </row>
    <row r="521" spans="1:52" s="185" customFormat="1" ht="15" customHeight="1" x14ac:dyDescent="0.25">
      <c r="A521" s="200"/>
      <c r="B521" s="211"/>
      <c r="C521" s="212">
        <f t="shared" si="44"/>
        <v>51.000000000000455</v>
      </c>
      <c r="D521" s="231">
        <f>15+[2]!STEPLOAD(5)</f>
        <v>20</v>
      </c>
      <c r="E521" s="212">
        <f t="shared" si="45"/>
        <v>45.745015849307428</v>
      </c>
      <c r="F521" s="212">
        <f t="shared" si="46"/>
        <v>0.5</v>
      </c>
      <c r="G521" s="212">
        <f>5</f>
        <v>5</v>
      </c>
      <c r="H521" s="212">
        <f>60</f>
        <v>60</v>
      </c>
      <c r="I521" s="212">
        <f t="shared" si="47"/>
        <v>0.9</v>
      </c>
      <c r="J521" s="212">
        <f>1</f>
        <v>1</v>
      </c>
      <c r="K521" s="212">
        <f t="shared" si="48"/>
        <v>4.1870000000000003</v>
      </c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212"/>
      <c r="Y521" s="212"/>
      <c r="Z521" s="212"/>
      <c r="AA521" s="212"/>
      <c r="AB521" s="212"/>
      <c r="AC521" s="196"/>
      <c r="AD521" s="27"/>
      <c r="AE521" s="213"/>
      <c r="AF521" s="212">
        <f t="shared" si="49"/>
        <v>4.9108822295149679E-3</v>
      </c>
      <c r="AG521" s="212"/>
      <c r="AH521" s="212"/>
      <c r="AI521" s="212"/>
      <c r="AJ521" s="212"/>
      <c r="AK521" s="212"/>
      <c r="AL521" s="212"/>
      <c r="AM521" s="212"/>
      <c r="AN521" s="212"/>
      <c r="AO521" s="212"/>
      <c r="AP521" s="196"/>
      <c r="AQ521" s="196"/>
      <c r="AR521" s="211"/>
      <c r="AS521" s="212"/>
      <c r="AT521" s="212"/>
      <c r="AU521" s="212"/>
      <c r="AW521" s="58"/>
      <c r="AX521" s="58"/>
      <c r="AY521" s="58"/>
      <c r="AZ521" s="58"/>
    </row>
    <row r="522" spans="1:52" s="185" customFormat="1" ht="15" customHeight="1" x14ac:dyDescent="0.25">
      <c r="A522" s="200"/>
      <c r="B522" s="211"/>
      <c r="C522" s="212">
        <f t="shared" si="44"/>
        <v>51.100000000000456</v>
      </c>
      <c r="D522" s="231">
        <f>15+[2]!STEPLOAD(5)</f>
        <v>20</v>
      </c>
      <c r="E522" s="212">
        <f t="shared" si="45"/>
        <v>45.745506937530379</v>
      </c>
      <c r="F522" s="212">
        <f t="shared" si="46"/>
        <v>0.5</v>
      </c>
      <c r="G522" s="212">
        <f>5</f>
        <v>5</v>
      </c>
      <c r="H522" s="212">
        <f>60</f>
        <v>60</v>
      </c>
      <c r="I522" s="212">
        <f t="shared" si="47"/>
        <v>0.9</v>
      </c>
      <c r="J522" s="212">
        <f>1</f>
        <v>1</v>
      </c>
      <c r="K522" s="212">
        <f t="shared" si="48"/>
        <v>4.1870000000000003</v>
      </c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212"/>
      <c r="Y522" s="212"/>
      <c r="Z522" s="212"/>
      <c r="AA522" s="212"/>
      <c r="AB522" s="212"/>
      <c r="AC522" s="196"/>
      <c r="AD522" s="27"/>
      <c r="AE522" s="213"/>
      <c r="AF522" s="212">
        <f t="shared" si="49"/>
        <v>4.8617734072200491E-3</v>
      </c>
      <c r="AG522" s="212"/>
      <c r="AH522" s="212"/>
      <c r="AI522" s="212"/>
      <c r="AJ522" s="212"/>
      <c r="AK522" s="212"/>
      <c r="AL522" s="212"/>
      <c r="AM522" s="212"/>
      <c r="AN522" s="212"/>
      <c r="AO522" s="212"/>
      <c r="AP522" s="196"/>
      <c r="AQ522" s="196"/>
      <c r="AR522" s="211"/>
      <c r="AS522" s="212"/>
      <c r="AT522" s="212"/>
      <c r="AU522" s="212"/>
      <c r="AW522" s="58"/>
      <c r="AX522" s="58"/>
      <c r="AY522" s="58"/>
      <c r="AZ522" s="58"/>
    </row>
    <row r="523" spans="1:52" s="185" customFormat="1" ht="15" customHeight="1" x14ac:dyDescent="0.25">
      <c r="A523" s="200"/>
      <c r="B523" s="211"/>
      <c r="C523" s="212">
        <f t="shared" si="44"/>
        <v>51.200000000000458</v>
      </c>
      <c r="D523" s="231">
        <f>15+[2]!STEPLOAD(5)</f>
        <v>20</v>
      </c>
      <c r="E523" s="212">
        <f t="shared" si="45"/>
        <v>45.745993114871098</v>
      </c>
      <c r="F523" s="212">
        <f t="shared" si="46"/>
        <v>0.5</v>
      </c>
      <c r="G523" s="212">
        <f>5</f>
        <v>5</v>
      </c>
      <c r="H523" s="212">
        <f>60</f>
        <v>60</v>
      </c>
      <c r="I523" s="212">
        <f t="shared" si="47"/>
        <v>0.9</v>
      </c>
      <c r="J523" s="212">
        <f>1</f>
        <v>1</v>
      </c>
      <c r="K523" s="212">
        <f t="shared" si="48"/>
        <v>4.1870000000000003</v>
      </c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2"/>
      <c r="Z523" s="212"/>
      <c r="AA523" s="212"/>
      <c r="AB523" s="212"/>
      <c r="AC523" s="196"/>
      <c r="AD523" s="27"/>
      <c r="AE523" s="213"/>
      <c r="AF523" s="212">
        <f t="shared" si="49"/>
        <v>4.8131556731481062E-3</v>
      </c>
      <c r="AG523" s="212"/>
      <c r="AH523" s="212"/>
      <c r="AI523" s="212"/>
      <c r="AJ523" s="212"/>
      <c r="AK523" s="212"/>
      <c r="AL523" s="212"/>
      <c r="AM523" s="212"/>
      <c r="AN523" s="212"/>
      <c r="AO523" s="212"/>
      <c r="AP523" s="196"/>
      <c r="AQ523" s="196"/>
      <c r="AR523" s="211"/>
      <c r="AS523" s="212"/>
      <c r="AT523" s="212"/>
      <c r="AU523" s="212"/>
      <c r="AW523" s="58"/>
      <c r="AX523" s="58"/>
      <c r="AY523" s="58"/>
      <c r="AZ523" s="58"/>
    </row>
    <row r="524" spans="1:52" s="185" customFormat="1" ht="15" customHeight="1" x14ac:dyDescent="0.25">
      <c r="A524" s="200"/>
      <c r="B524" s="211"/>
      <c r="C524" s="212">
        <f t="shared" ref="C524:C587" si="50">C523+IntegrationStep</f>
        <v>51.300000000000459</v>
      </c>
      <c r="D524" s="231">
        <f>15+[2]!STEPLOAD(5)</f>
        <v>20</v>
      </c>
      <c r="E524" s="212">
        <f t="shared" si="45"/>
        <v>45.746474430438411</v>
      </c>
      <c r="F524" s="212">
        <f t="shared" si="46"/>
        <v>0.5</v>
      </c>
      <c r="G524" s="212">
        <f>5</f>
        <v>5</v>
      </c>
      <c r="H524" s="212">
        <f>60</f>
        <v>60</v>
      </c>
      <c r="I524" s="212">
        <f t="shared" si="47"/>
        <v>0.9</v>
      </c>
      <c r="J524" s="212">
        <f>1</f>
        <v>1</v>
      </c>
      <c r="K524" s="212">
        <f t="shared" si="48"/>
        <v>4.1870000000000003</v>
      </c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212"/>
      <c r="Y524" s="212"/>
      <c r="Z524" s="212"/>
      <c r="AA524" s="212"/>
      <c r="AB524" s="212"/>
      <c r="AC524" s="196"/>
      <c r="AD524" s="27"/>
      <c r="AE524" s="213"/>
      <c r="AF524" s="212">
        <f t="shared" si="49"/>
        <v>4.7650241164167717E-3</v>
      </c>
      <c r="AG524" s="212"/>
      <c r="AH524" s="212"/>
      <c r="AI524" s="212"/>
      <c r="AJ524" s="212"/>
      <c r="AK524" s="212"/>
      <c r="AL524" s="212"/>
      <c r="AM524" s="212"/>
      <c r="AN524" s="212"/>
      <c r="AO524" s="212"/>
      <c r="AP524" s="196"/>
      <c r="AQ524" s="196"/>
      <c r="AR524" s="211"/>
      <c r="AS524" s="212"/>
      <c r="AT524" s="212"/>
      <c r="AU524" s="212"/>
      <c r="AW524" s="58"/>
      <c r="AX524" s="58"/>
      <c r="AY524" s="58"/>
      <c r="AZ524" s="58"/>
    </row>
    <row r="525" spans="1:52" s="185" customFormat="1" ht="15" customHeight="1" x14ac:dyDescent="0.25">
      <c r="A525" s="200"/>
      <c r="B525" s="211"/>
      <c r="C525" s="212">
        <f t="shared" si="50"/>
        <v>51.40000000000046</v>
      </c>
      <c r="D525" s="231">
        <f>15+[2]!STEPLOAD(5)</f>
        <v>20</v>
      </c>
      <c r="E525" s="212">
        <f t="shared" ref="E525:E588" si="51">E524+(C525-C524)*AF524</f>
        <v>45.746950932850055</v>
      </c>
      <c r="F525" s="212">
        <f t="shared" ref="F525:F588" si="52">0.5</f>
        <v>0.5</v>
      </c>
      <c r="G525" s="212">
        <f>5</f>
        <v>5</v>
      </c>
      <c r="H525" s="212">
        <f>60</f>
        <v>60</v>
      </c>
      <c r="I525" s="212">
        <f t="shared" ref="I525:I588" si="53">0.9</f>
        <v>0.9</v>
      </c>
      <c r="J525" s="212">
        <f>1</f>
        <v>1</v>
      </c>
      <c r="K525" s="212">
        <f t="shared" ref="K525:K588" si="54">4.187</f>
        <v>4.1870000000000003</v>
      </c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212"/>
      <c r="Y525" s="212"/>
      <c r="Z525" s="212"/>
      <c r="AA525" s="212"/>
      <c r="AB525" s="212"/>
      <c r="AC525" s="196"/>
      <c r="AD525" s="27"/>
      <c r="AE525" s="213"/>
      <c r="AF525" s="212">
        <f t="shared" ref="AF525:AF588" si="55">F525/G525*(D525-E525)+H525*I525/G525/J525/K525</f>
        <v>4.7173738752523953E-3</v>
      </c>
      <c r="AG525" s="212"/>
      <c r="AH525" s="212"/>
      <c r="AI525" s="212"/>
      <c r="AJ525" s="212"/>
      <c r="AK525" s="212"/>
      <c r="AL525" s="212"/>
      <c r="AM525" s="212"/>
      <c r="AN525" s="212"/>
      <c r="AO525" s="212"/>
      <c r="AP525" s="196"/>
      <c r="AQ525" s="196"/>
      <c r="AR525" s="211"/>
      <c r="AS525" s="212"/>
      <c r="AT525" s="212"/>
      <c r="AU525" s="212"/>
      <c r="AW525" s="58"/>
      <c r="AX525" s="58"/>
      <c r="AY525" s="58"/>
      <c r="AZ525" s="58"/>
    </row>
    <row r="526" spans="1:52" s="185" customFormat="1" ht="15" customHeight="1" x14ac:dyDescent="0.25">
      <c r="A526" s="200"/>
      <c r="B526" s="211"/>
      <c r="C526" s="212">
        <f t="shared" si="50"/>
        <v>51.500000000000462</v>
      </c>
      <c r="D526" s="231">
        <f>15+[2]!STEPLOAD(5)</f>
        <v>20</v>
      </c>
      <c r="E526" s="212">
        <f t="shared" si="51"/>
        <v>45.747422670237583</v>
      </c>
      <c r="F526" s="212">
        <f t="shared" si="52"/>
        <v>0.5</v>
      </c>
      <c r="G526" s="212">
        <f>5</f>
        <v>5</v>
      </c>
      <c r="H526" s="212">
        <f>60</f>
        <v>60</v>
      </c>
      <c r="I526" s="212">
        <f t="shared" si="53"/>
        <v>0.9</v>
      </c>
      <c r="J526" s="212">
        <f>1</f>
        <v>1</v>
      </c>
      <c r="K526" s="212">
        <f t="shared" si="54"/>
        <v>4.1870000000000003</v>
      </c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212"/>
      <c r="Y526" s="212"/>
      <c r="Z526" s="212"/>
      <c r="AA526" s="212"/>
      <c r="AB526" s="212"/>
      <c r="AC526" s="196"/>
      <c r="AD526" s="27"/>
      <c r="AE526" s="213"/>
      <c r="AF526" s="212">
        <f t="shared" si="55"/>
        <v>4.6702001364997692E-3</v>
      </c>
      <c r="AG526" s="212"/>
      <c r="AH526" s="212"/>
      <c r="AI526" s="212"/>
      <c r="AJ526" s="212"/>
      <c r="AK526" s="212"/>
      <c r="AL526" s="212"/>
      <c r="AM526" s="212"/>
      <c r="AN526" s="212"/>
      <c r="AO526" s="212"/>
      <c r="AP526" s="196"/>
      <c r="AQ526" s="196"/>
      <c r="AR526" s="211"/>
      <c r="AS526" s="212"/>
      <c r="AT526" s="212"/>
      <c r="AU526" s="212"/>
      <c r="AW526" s="58"/>
      <c r="AX526" s="58"/>
      <c r="AY526" s="58"/>
      <c r="AZ526" s="58"/>
    </row>
    <row r="527" spans="1:52" s="185" customFormat="1" ht="15" customHeight="1" x14ac:dyDescent="0.25">
      <c r="A527" s="200"/>
      <c r="B527" s="211"/>
      <c r="C527" s="212">
        <f t="shared" si="50"/>
        <v>51.600000000000463</v>
      </c>
      <c r="D527" s="231">
        <f>15+[2]!STEPLOAD(5)</f>
        <v>20</v>
      </c>
      <c r="E527" s="212">
        <f t="shared" si="51"/>
        <v>45.747889690251235</v>
      </c>
      <c r="F527" s="212">
        <f t="shared" si="52"/>
        <v>0.5</v>
      </c>
      <c r="G527" s="212">
        <f>5</f>
        <v>5</v>
      </c>
      <c r="H527" s="212">
        <f>60</f>
        <v>60</v>
      </c>
      <c r="I527" s="212">
        <f t="shared" si="53"/>
        <v>0.9</v>
      </c>
      <c r="J527" s="212">
        <f>1</f>
        <v>1</v>
      </c>
      <c r="K527" s="212">
        <f t="shared" si="54"/>
        <v>4.1870000000000003</v>
      </c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212"/>
      <c r="Y527" s="212"/>
      <c r="Z527" s="212"/>
      <c r="AA527" s="212"/>
      <c r="AB527" s="212"/>
      <c r="AC527" s="196"/>
      <c r="AD527" s="27"/>
      <c r="AE527" s="213"/>
      <c r="AF527" s="212">
        <f t="shared" si="55"/>
        <v>4.6234981351345183E-3</v>
      </c>
      <c r="AG527" s="212"/>
      <c r="AH527" s="212"/>
      <c r="AI527" s="212"/>
      <c r="AJ527" s="212"/>
      <c r="AK527" s="212"/>
      <c r="AL527" s="212"/>
      <c r="AM527" s="212"/>
      <c r="AN527" s="212"/>
      <c r="AO527" s="212"/>
      <c r="AP527" s="196"/>
      <c r="AQ527" s="196"/>
      <c r="AR527" s="211"/>
      <c r="AS527" s="212"/>
      <c r="AT527" s="212"/>
      <c r="AU527" s="212"/>
      <c r="AW527" s="58"/>
      <c r="AX527" s="58"/>
      <c r="AY527" s="58"/>
      <c r="AZ527" s="58"/>
    </row>
    <row r="528" spans="1:52" s="185" customFormat="1" ht="15" customHeight="1" x14ac:dyDescent="0.25">
      <c r="A528" s="200"/>
      <c r="B528" s="211"/>
      <c r="C528" s="212">
        <f t="shared" si="50"/>
        <v>51.700000000000465</v>
      </c>
      <c r="D528" s="231">
        <f>15+[2]!STEPLOAD(5)</f>
        <v>20</v>
      </c>
      <c r="E528" s="212">
        <f t="shared" si="51"/>
        <v>45.748352040064745</v>
      </c>
      <c r="F528" s="212">
        <f t="shared" si="52"/>
        <v>0.5</v>
      </c>
      <c r="G528" s="212">
        <f>5</f>
        <v>5</v>
      </c>
      <c r="H528" s="212">
        <f>60</f>
        <v>60</v>
      </c>
      <c r="I528" s="212">
        <f t="shared" si="53"/>
        <v>0.9</v>
      </c>
      <c r="J528" s="212">
        <f>1</f>
        <v>1</v>
      </c>
      <c r="K528" s="212">
        <f t="shared" si="54"/>
        <v>4.1870000000000003</v>
      </c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212"/>
      <c r="Y528" s="212"/>
      <c r="Z528" s="212"/>
      <c r="AA528" s="212"/>
      <c r="AB528" s="212"/>
      <c r="AC528" s="196"/>
      <c r="AD528" s="27"/>
      <c r="AE528" s="213"/>
      <c r="AF528" s="212">
        <f t="shared" si="55"/>
        <v>4.577263153783484E-3</v>
      </c>
      <c r="AG528" s="212"/>
      <c r="AH528" s="212"/>
      <c r="AI528" s="212"/>
      <c r="AJ528" s="212"/>
      <c r="AK528" s="212"/>
      <c r="AL528" s="212"/>
      <c r="AM528" s="212"/>
      <c r="AN528" s="212"/>
      <c r="AO528" s="212"/>
      <c r="AP528" s="196"/>
      <c r="AQ528" s="196"/>
      <c r="AR528" s="211"/>
      <c r="AS528" s="212"/>
      <c r="AT528" s="212"/>
      <c r="AU528" s="212"/>
      <c r="AW528" s="58"/>
      <c r="AX528" s="58"/>
      <c r="AY528" s="58"/>
      <c r="AZ528" s="58"/>
    </row>
    <row r="529" spans="1:52" s="185" customFormat="1" ht="15" customHeight="1" x14ac:dyDescent="0.25">
      <c r="A529" s="200"/>
      <c r="B529" s="211"/>
      <c r="C529" s="212">
        <f t="shared" si="50"/>
        <v>51.800000000000466</v>
      </c>
      <c r="D529" s="231">
        <f>15+[2]!STEPLOAD(5)</f>
        <v>20</v>
      </c>
      <c r="E529" s="212">
        <f t="shared" si="51"/>
        <v>45.74880976638012</v>
      </c>
      <c r="F529" s="212">
        <f t="shared" si="52"/>
        <v>0.5</v>
      </c>
      <c r="G529" s="212">
        <f>5</f>
        <v>5</v>
      </c>
      <c r="H529" s="212">
        <f>60</f>
        <v>60</v>
      </c>
      <c r="I529" s="212">
        <f t="shared" si="53"/>
        <v>0.9</v>
      </c>
      <c r="J529" s="212">
        <f>1</f>
        <v>1</v>
      </c>
      <c r="K529" s="212">
        <f t="shared" si="54"/>
        <v>4.1870000000000003</v>
      </c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212"/>
      <c r="Y529" s="212"/>
      <c r="Z529" s="212"/>
      <c r="AA529" s="212"/>
      <c r="AB529" s="212"/>
      <c r="AC529" s="196"/>
      <c r="AD529" s="27"/>
      <c r="AE529" s="213"/>
      <c r="AF529" s="212">
        <f t="shared" si="55"/>
        <v>4.5314905222459956E-3</v>
      </c>
      <c r="AG529" s="212"/>
      <c r="AH529" s="212"/>
      <c r="AI529" s="212"/>
      <c r="AJ529" s="212"/>
      <c r="AK529" s="212"/>
      <c r="AL529" s="212"/>
      <c r="AM529" s="212"/>
      <c r="AN529" s="212"/>
      <c r="AO529" s="212"/>
      <c r="AP529" s="196"/>
      <c r="AQ529" s="196"/>
      <c r="AR529" s="211"/>
      <c r="AS529" s="212"/>
      <c r="AT529" s="212"/>
      <c r="AU529" s="212"/>
      <c r="AW529" s="58"/>
      <c r="AX529" s="58"/>
      <c r="AY529" s="58"/>
      <c r="AZ529" s="58"/>
    </row>
    <row r="530" spans="1:52" s="185" customFormat="1" ht="15" customHeight="1" x14ac:dyDescent="0.25">
      <c r="A530" s="200"/>
      <c r="B530" s="211"/>
      <c r="C530" s="212">
        <f t="shared" si="50"/>
        <v>51.900000000000468</v>
      </c>
      <c r="D530" s="231">
        <f>15+[2]!STEPLOAD(5)</f>
        <v>20</v>
      </c>
      <c r="E530" s="212">
        <f t="shared" si="51"/>
        <v>45.749262915432347</v>
      </c>
      <c r="F530" s="212">
        <f t="shared" si="52"/>
        <v>0.5</v>
      </c>
      <c r="G530" s="212">
        <f>5</f>
        <v>5</v>
      </c>
      <c r="H530" s="212">
        <f>60</f>
        <v>60</v>
      </c>
      <c r="I530" s="212">
        <f t="shared" si="53"/>
        <v>0.9</v>
      </c>
      <c r="J530" s="212">
        <f>1</f>
        <v>1</v>
      </c>
      <c r="K530" s="212">
        <f t="shared" si="54"/>
        <v>4.1870000000000003</v>
      </c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212"/>
      <c r="Y530" s="212"/>
      <c r="Z530" s="212"/>
      <c r="AA530" s="212"/>
      <c r="AB530" s="212"/>
      <c r="AC530" s="196"/>
      <c r="AD530" s="27"/>
      <c r="AE530" s="213"/>
      <c r="AF530" s="212">
        <f t="shared" si="55"/>
        <v>4.4861756170231359E-3</v>
      </c>
      <c r="AG530" s="212"/>
      <c r="AH530" s="212"/>
      <c r="AI530" s="212"/>
      <c r="AJ530" s="212"/>
      <c r="AK530" s="212"/>
      <c r="AL530" s="212"/>
      <c r="AM530" s="212"/>
      <c r="AN530" s="212"/>
      <c r="AO530" s="212"/>
      <c r="AP530" s="196"/>
      <c r="AQ530" s="196"/>
      <c r="AR530" s="211"/>
      <c r="AS530" s="212"/>
      <c r="AT530" s="212"/>
      <c r="AU530" s="212"/>
      <c r="AW530" s="58"/>
      <c r="AX530" s="58"/>
      <c r="AY530" s="58"/>
      <c r="AZ530" s="58"/>
    </row>
    <row r="531" spans="1:52" s="185" customFormat="1" ht="15" customHeight="1" x14ac:dyDescent="0.25">
      <c r="A531" s="200"/>
      <c r="B531" s="211"/>
      <c r="C531" s="212">
        <f t="shared" si="50"/>
        <v>52.000000000000469</v>
      </c>
      <c r="D531" s="231">
        <f>15+[2]!STEPLOAD(5)</f>
        <v>20</v>
      </c>
      <c r="E531" s="212">
        <f t="shared" si="51"/>
        <v>45.749711532994048</v>
      </c>
      <c r="F531" s="212">
        <f t="shared" si="52"/>
        <v>0.5</v>
      </c>
      <c r="G531" s="212">
        <f>5</f>
        <v>5</v>
      </c>
      <c r="H531" s="212">
        <f>60</f>
        <v>60</v>
      </c>
      <c r="I531" s="212">
        <f t="shared" si="53"/>
        <v>0.9</v>
      </c>
      <c r="J531" s="212">
        <f>1</f>
        <v>1</v>
      </c>
      <c r="K531" s="212">
        <f t="shared" si="54"/>
        <v>4.1870000000000003</v>
      </c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212"/>
      <c r="Y531" s="212"/>
      <c r="Z531" s="212"/>
      <c r="AA531" s="212"/>
      <c r="AB531" s="212"/>
      <c r="AC531" s="196"/>
      <c r="AD531" s="27"/>
      <c r="AE531" s="213"/>
      <c r="AF531" s="212">
        <f t="shared" si="55"/>
        <v>4.4413138608532243E-3</v>
      </c>
      <c r="AG531" s="212"/>
      <c r="AH531" s="212"/>
      <c r="AI531" s="212"/>
      <c r="AJ531" s="212"/>
      <c r="AK531" s="212"/>
      <c r="AL531" s="212"/>
      <c r="AM531" s="212"/>
      <c r="AN531" s="212"/>
      <c r="AO531" s="212"/>
      <c r="AP531" s="196"/>
      <c r="AQ531" s="196"/>
      <c r="AR531" s="211"/>
      <c r="AS531" s="212"/>
      <c r="AT531" s="212"/>
      <c r="AU531" s="212"/>
      <c r="AW531" s="58"/>
      <c r="AX531" s="58"/>
      <c r="AY531" s="58"/>
      <c r="AZ531" s="58"/>
    </row>
    <row r="532" spans="1:52" s="185" customFormat="1" ht="15" customHeight="1" x14ac:dyDescent="0.25">
      <c r="A532" s="200"/>
      <c r="B532" s="211"/>
      <c r="C532" s="212">
        <f t="shared" si="50"/>
        <v>52.10000000000047</v>
      </c>
      <c r="D532" s="231">
        <f>15+[2]!STEPLOAD(5)</f>
        <v>20</v>
      </c>
      <c r="E532" s="212">
        <f t="shared" si="51"/>
        <v>45.750155664380131</v>
      </c>
      <c r="F532" s="212">
        <f t="shared" si="52"/>
        <v>0.5</v>
      </c>
      <c r="G532" s="212">
        <f>5</f>
        <v>5</v>
      </c>
      <c r="H532" s="212">
        <f>60</f>
        <v>60</v>
      </c>
      <c r="I532" s="212">
        <f t="shared" si="53"/>
        <v>0.9</v>
      </c>
      <c r="J532" s="212">
        <f>1</f>
        <v>1</v>
      </c>
      <c r="K532" s="212">
        <f t="shared" si="54"/>
        <v>4.1870000000000003</v>
      </c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212"/>
      <c r="Y532" s="212"/>
      <c r="Z532" s="212"/>
      <c r="AA532" s="212"/>
      <c r="AB532" s="212"/>
      <c r="AC532" s="196"/>
      <c r="AD532" s="27"/>
      <c r="AE532" s="213"/>
      <c r="AF532" s="212">
        <f t="shared" si="55"/>
        <v>4.3969007222446344E-3</v>
      </c>
      <c r="AG532" s="212"/>
      <c r="AH532" s="212"/>
      <c r="AI532" s="212"/>
      <c r="AJ532" s="212"/>
      <c r="AK532" s="212"/>
      <c r="AL532" s="212"/>
      <c r="AM532" s="212"/>
      <c r="AN532" s="212"/>
      <c r="AO532" s="212"/>
      <c r="AP532" s="196"/>
      <c r="AQ532" s="196"/>
      <c r="AR532" s="211"/>
      <c r="AS532" s="212"/>
      <c r="AT532" s="212"/>
      <c r="AU532" s="212"/>
      <c r="AW532" s="58"/>
      <c r="AX532" s="58"/>
      <c r="AY532" s="58"/>
      <c r="AZ532" s="58"/>
    </row>
    <row r="533" spans="1:52" s="185" customFormat="1" ht="15" customHeight="1" x14ac:dyDescent="0.25">
      <c r="A533" s="200"/>
      <c r="B533" s="211"/>
      <c r="C533" s="212">
        <f t="shared" si="50"/>
        <v>52.200000000000472</v>
      </c>
      <c r="D533" s="231">
        <f>15+[2]!STEPLOAD(5)</f>
        <v>20</v>
      </c>
      <c r="E533" s="212">
        <f t="shared" si="51"/>
        <v>45.750595354452358</v>
      </c>
      <c r="F533" s="212">
        <f t="shared" si="52"/>
        <v>0.5</v>
      </c>
      <c r="G533" s="212">
        <f>5</f>
        <v>5</v>
      </c>
      <c r="H533" s="212">
        <f>60</f>
        <v>60</v>
      </c>
      <c r="I533" s="212">
        <f t="shared" si="53"/>
        <v>0.9</v>
      </c>
      <c r="J533" s="212">
        <f>1</f>
        <v>1</v>
      </c>
      <c r="K533" s="212">
        <f t="shared" si="54"/>
        <v>4.1870000000000003</v>
      </c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212"/>
      <c r="Y533" s="212"/>
      <c r="Z533" s="212"/>
      <c r="AA533" s="212"/>
      <c r="AB533" s="212"/>
      <c r="AC533" s="196"/>
      <c r="AD533" s="27"/>
      <c r="AE533" s="213"/>
      <c r="AF533" s="212">
        <f t="shared" si="55"/>
        <v>4.3529317150219349E-3</v>
      </c>
      <c r="AG533" s="212"/>
      <c r="AH533" s="212"/>
      <c r="AI533" s="212"/>
      <c r="AJ533" s="212"/>
      <c r="AK533" s="212"/>
      <c r="AL533" s="212"/>
      <c r="AM533" s="212"/>
      <c r="AN533" s="212"/>
      <c r="AO533" s="212"/>
      <c r="AP533" s="196"/>
      <c r="AQ533" s="196"/>
      <c r="AR533" s="211"/>
      <c r="AS533" s="212"/>
      <c r="AT533" s="212"/>
      <c r="AU533" s="212"/>
      <c r="AW533" s="58"/>
      <c r="AX533" s="58"/>
      <c r="AY533" s="58"/>
      <c r="AZ533" s="58"/>
    </row>
    <row r="534" spans="1:52" s="185" customFormat="1" ht="15" customHeight="1" x14ac:dyDescent="0.25">
      <c r="A534" s="200"/>
      <c r="B534" s="211"/>
      <c r="C534" s="212">
        <f t="shared" si="50"/>
        <v>52.300000000000473</v>
      </c>
      <c r="D534" s="231">
        <f>15+[2]!STEPLOAD(5)</f>
        <v>20</v>
      </c>
      <c r="E534" s="212">
        <f t="shared" si="51"/>
        <v>45.751030647623857</v>
      </c>
      <c r="F534" s="212">
        <f t="shared" si="52"/>
        <v>0.5</v>
      </c>
      <c r="G534" s="212">
        <f>5</f>
        <v>5</v>
      </c>
      <c r="H534" s="212">
        <f>60</f>
        <v>60</v>
      </c>
      <c r="I534" s="212">
        <f t="shared" si="53"/>
        <v>0.9</v>
      </c>
      <c r="J534" s="212">
        <f>1</f>
        <v>1</v>
      </c>
      <c r="K534" s="212">
        <f t="shared" si="54"/>
        <v>4.1870000000000003</v>
      </c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212"/>
      <c r="Y534" s="212"/>
      <c r="Z534" s="212"/>
      <c r="AA534" s="212"/>
      <c r="AB534" s="212"/>
      <c r="AC534" s="196"/>
      <c r="AD534" s="27"/>
      <c r="AE534" s="213"/>
      <c r="AF534" s="212">
        <f t="shared" si="55"/>
        <v>4.3094023978720308E-3</v>
      </c>
      <c r="AG534" s="212"/>
      <c r="AH534" s="212"/>
      <c r="AI534" s="212"/>
      <c r="AJ534" s="212"/>
      <c r="AK534" s="212"/>
      <c r="AL534" s="212"/>
      <c r="AM534" s="212"/>
      <c r="AN534" s="212"/>
      <c r="AO534" s="212"/>
      <c r="AP534" s="196"/>
      <c r="AQ534" s="196"/>
      <c r="AR534" s="211"/>
      <c r="AS534" s="212"/>
      <c r="AT534" s="212"/>
      <c r="AU534" s="212"/>
      <c r="AW534" s="58"/>
      <c r="AX534" s="58"/>
      <c r="AY534" s="58"/>
      <c r="AZ534" s="58"/>
    </row>
    <row r="535" spans="1:52" s="185" customFormat="1" ht="15" customHeight="1" x14ac:dyDescent="0.25">
      <c r="A535" s="200"/>
      <c r="B535" s="211"/>
      <c r="C535" s="212">
        <f t="shared" si="50"/>
        <v>52.400000000000475</v>
      </c>
      <c r="D535" s="231">
        <f>15+[2]!STEPLOAD(5)</f>
        <v>20</v>
      </c>
      <c r="E535" s="212">
        <f t="shared" si="51"/>
        <v>45.751461587863645</v>
      </c>
      <c r="F535" s="212">
        <f t="shared" si="52"/>
        <v>0.5</v>
      </c>
      <c r="G535" s="212">
        <f>5</f>
        <v>5</v>
      </c>
      <c r="H535" s="212">
        <f>60</f>
        <v>60</v>
      </c>
      <c r="I535" s="212">
        <f t="shared" si="53"/>
        <v>0.9</v>
      </c>
      <c r="J535" s="212">
        <f>1</f>
        <v>1</v>
      </c>
      <c r="K535" s="212">
        <f t="shared" si="54"/>
        <v>4.1870000000000003</v>
      </c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212"/>
      <c r="Y535" s="212"/>
      <c r="Z535" s="212"/>
      <c r="AA535" s="212"/>
      <c r="AB535" s="212"/>
      <c r="AC535" s="196"/>
      <c r="AD535" s="27"/>
      <c r="AE535" s="213"/>
      <c r="AF535" s="212">
        <f t="shared" si="55"/>
        <v>4.2663083738934127E-3</v>
      </c>
      <c r="AG535" s="212"/>
      <c r="AH535" s="212"/>
      <c r="AI535" s="212"/>
      <c r="AJ535" s="212"/>
      <c r="AK535" s="212"/>
      <c r="AL535" s="212"/>
      <c r="AM535" s="212"/>
      <c r="AN535" s="212"/>
      <c r="AO535" s="212"/>
      <c r="AP535" s="196"/>
      <c r="AQ535" s="196"/>
      <c r="AR535" s="211"/>
      <c r="AS535" s="212"/>
      <c r="AT535" s="212"/>
      <c r="AU535" s="212"/>
      <c r="AW535" s="58"/>
      <c r="AX535" s="58"/>
      <c r="AY535" s="58"/>
      <c r="AZ535" s="58"/>
    </row>
    <row r="536" spans="1:52" s="185" customFormat="1" ht="15" customHeight="1" x14ac:dyDescent="0.25">
      <c r="A536" s="200"/>
      <c r="B536" s="211"/>
      <c r="C536" s="212">
        <f t="shared" si="50"/>
        <v>52.500000000000476</v>
      </c>
      <c r="D536" s="231">
        <f>15+[2]!STEPLOAD(5)</f>
        <v>20</v>
      </c>
      <c r="E536" s="212">
        <f t="shared" si="51"/>
        <v>45.751888218701033</v>
      </c>
      <c r="F536" s="212">
        <f t="shared" si="52"/>
        <v>0.5</v>
      </c>
      <c r="G536" s="212">
        <f>5</f>
        <v>5</v>
      </c>
      <c r="H536" s="212">
        <f>60</f>
        <v>60</v>
      </c>
      <c r="I536" s="212">
        <f t="shared" si="53"/>
        <v>0.9</v>
      </c>
      <c r="J536" s="212">
        <f>1</f>
        <v>1</v>
      </c>
      <c r="K536" s="212">
        <f t="shared" si="54"/>
        <v>4.1870000000000003</v>
      </c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212"/>
      <c r="Y536" s="212"/>
      <c r="Z536" s="212"/>
      <c r="AA536" s="212"/>
      <c r="AB536" s="212"/>
      <c r="AC536" s="196"/>
      <c r="AD536" s="27"/>
      <c r="AE536" s="213"/>
      <c r="AF536" s="212">
        <f t="shared" si="55"/>
        <v>4.2236452901547317E-3</v>
      </c>
      <c r="AG536" s="212"/>
      <c r="AH536" s="212"/>
      <c r="AI536" s="212"/>
      <c r="AJ536" s="212"/>
      <c r="AK536" s="212"/>
      <c r="AL536" s="212"/>
      <c r="AM536" s="212"/>
      <c r="AN536" s="212"/>
      <c r="AO536" s="212"/>
      <c r="AP536" s="196"/>
      <c r="AQ536" s="196"/>
      <c r="AR536" s="211"/>
      <c r="AS536" s="212"/>
      <c r="AT536" s="212"/>
      <c r="AU536" s="212"/>
      <c r="AW536" s="58"/>
      <c r="AX536" s="58"/>
      <c r="AY536" s="58"/>
      <c r="AZ536" s="58"/>
    </row>
    <row r="537" spans="1:52" s="185" customFormat="1" ht="15" customHeight="1" x14ac:dyDescent="0.25">
      <c r="A537" s="200"/>
      <c r="B537" s="211"/>
      <c r="C537" s="212">
        <f t="shared" si="50"/>
        <v>52.600000000000477</v>
      </c>
      <c r="D537" s="231">
        <f>15+[2]!STEPLOAD(5)</f>
        <v>20</v>
      </c>
      <c r="E537" s="212">
        <f t="shared" si="51"/>
        <v>45.752310583230049</v>
      </c>
      <c r="F537" s="212">
        <f t="shared" si="52"/>
        <v>0.5</v>
      </c>
      <c r="G537" s="212">
        <f>5</f>
        <v>5</v>
      </c>
      <c r="H537" s="212">
        <f>60</f>
        <v>60</v>
      </c>
      <c r="I537" s="212">
        <f t="shared" si="53"/>
        <v>0.9</v>
      </c>
      <c r="J537" s="212">
        <f>1</f>
        <v>1</v>
      </c>
      <c r="K537" s="212">
        <f t="shared" si="54"/>
        <v>4.1870000000000003</v>
      </c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  <c r="AA537" s="212"/>
      <c r="AB537" s="212"/>
      <c r="AC537" s="196"/>
      <c r="AD537" s="27"/>
      <c r="AE537" s="213"/>
      <c r="AF537" s="212">
        <f t="shared" si="55"/>
        <v>4.1814088372529312E-3</v>
      </c>
      <c r="AG537" s="212"/>
      <c r="AH537" s="212"/>
      <c r="AI537" s="212"/>
      <c r="AJ537" s="212"/>
      <c r="AK537" s="212"/>
      <c r="AL537" s="212"/>
      <c r="AM537" s="212"/>
      <c r="AN537" s="212"/>
      <c r="AO537" s="212"/>
      <c r="AP537" s="196"/>
      <c r="AQ537" s="196"/>
      <c r="AR537" s="211"/>
      <c r="AS537" s="212"/>
      <c r="AT537" s="212"/>
      <c r="AU537" s="212"/>
      <c r="AW537" s="58"/>
      <c r="AX537" s="58"/>
      <c r="AY537" s="58"/>
      <c r="AZ537" s="58"/>
    </row>
    <row r="538" spans="1:52" s="185" customFormat="1" ht="15" customHeight="1" x14ac:dyDescent="0.25">
      <c r="A538" s="200"/>
      <c r="B538" s="211"/>
      <c r="C538" s="212">
        <f t="shared" si="50"/>
        <v>52.700000000000479</v>
      </c>
      <c r="D538" s="231">
        <f>15+[2]!STEPLOAD(5)</f>
        <v>20</v>
      </c>
      <c r="E538" s="212">
        <f t="shared" si="51"/>
        <v>45.752728724113773</v>
      </c>
      <c r="F538" s="212">
        <f t="shared" si="52"/>
        <v>0.5</v>
      </c>
      <c r="G538" s="212">
        <f>5</f>
        <v>5</v>
      </c>
      <c r="H538" s="212">
        <f>60</f>
        <v>60</v>
      </c>
      <c r="I538" s="212">
        <f t="shared" si="53"/>
        <v>0.9</v>
      </c>
      <c r="J538" s="212">
        <f>1</f>
        <v>1</v>
      </c>
      <c r="K538" s="212">
        <f t="shared" si="54"/>
        <v>4.1870000000000003</v>
      </c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196"/>
      <c r="AD538" s="27"/>
      <c r="AE538" s="213"/>
      <c r="AF538" s="212">
        <f t="shared" si="55"/>
        <v>4.1395947488807039E-3</v>
      </c>
      <c r="AG538" s="212"/>
      <c r="AH538" s="212"/>
      <c r="AI538" s="212"/>
      <c r="AJ538" s="212"/>
      <c r="AK538" s="212"/>
      <c r="AL538" s="212"/>
      <c r="AM538" s="212"/>
      <c r="AN538" s="212"/>
      <c r="AO538" s="212"/>
      <c r="AP538" s="196"/>
      <c r="AQ538" s="196"/>
      <c r="AR538" s="211"/>
      <c r="AS538" s="212"/>
      <c r="AT538" s="212"/>
      <c r="AU538" s="212"/>
      <c r="AW538" s="58"/>
      <c r="AX538" s="58"/>
      <c r="AY538" s="58"/>
      <c r="AZ538" s="58"/>
    </row>
    <row r="539" spans="1:52" s="185" customFormat="1" ht="15" customHeight="1" x14ac:dyDescent="0.25">
      <c r="A539" s="200"/>
      <c r="B539" s="211"/>
      <c r="C539" s="212">
        <f t="shared" si="50"/>
        <v>52.80000000000048</v>
      </c>
      <c r="D539" s="231">
        <f>15+[2]!STEPLOAD(5)</f>
        <v>20</v>
      </c>
      <c r="E539" s="212">
        <f t="shared" si="51"/>
        <v>45.753142683588663</v>
      </c>
      <c r="F539" s="212">
        <f t="shared" si="52"/>
        <v>0.5</v>
      </c>
      <c r="G539" s="212">
        <f>5</f>
        <v>5</v>
      </c>
      <c r="H539" s="212">
        <f>60</f>
        <v>60</v>
      </c>
      <c r="I539" s="212">
        <f t="shared" si="53"/>
        <v>0.9</v>
      </c>
      <c r="J539" s="212">
        <f>1</f>
        <v>1</v>
      </c>
      <c r="K539" s="212">
        <f t="shared" si="54"/>
        <v>4.1870000000000003</v>
      </c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  <c r="AA539" s="212"/>
      <c r="AB539" s="212"/>
      <c r="AC539" s="196"/>
      <c r="AD539" s="27"/>
      <c r="AE539" s="213"/>
      <c r="AF539" s="212">
        <f t="shared" si="55"/>
        <v>4.0981988013917281E-3</v>
      </c>
      <c r="AG539" s="212"/>
      <c r="AH539" s="212"/>
      <c r="AI539" s="212"/>
      <c r="AJ539" s="212"/>
      <c r="AK539" s="212"/>
      <c r="AL539" s="212"/>
      <c r="AM539" s="212"/>
      <c r="AN539" s="212"/>
      <c r="AO539" s="212"/>
      <c r="AP539" s="196"/>
      <c r="AQ539" s="196"/>
      <c r="AR539" s="211"/>
      <c r="AS539" s="212"/>
      <c r="AT539" s="212"/>
      <c r="AU539" s="212"/>
      <c r="AW539" s="58"/>
      <c r="AX539" s="58"/>
      <c r="AY539" s="58"/>
      <c r="AZ539" s="58"/>
    </row>
    <row r="540" spans="1:52" s="185" customFormat="1" ht="15" customHeight="1" x14ac:dyDescent="0.25">
      <c r="A540" s="200"/>
      <c r="B540" s="211"/>
      <c r="C540" s="212">
        <f t="shared" si="50"/>
        <v>52.900000000000482</v>
      </c>
      <c r="D540" s="231">
        <f>15+[2]!STEPLOAD(5)</f>
        <v>20</v>
      </c>
      <c r="E540" s="212">
        <f t="shared" si="51"/>
        <v>45.753552503468804</v>
      </c>
      <c r="F540" s="212">
        <f t="shared" si="52"/>
        <v>0.5</v>
      </c>
      <c r="G540" s="212">
        <f>5</f>
        <v>5</v>
      </c>
      <c r="H540" s="212">
        <f>60</f>
        <v>60</v>
      </c>
      <c r="I540" s="212">
        <f t="shared" si="53"/>
        <v>0.9</v>
      </c>
      <c r="J540" s="212">
        <f>1</f>
        <v>1</v>
      </c>
      <c r="K540" s="212">
        <f t="shared" si="54"/>
        <v>4.1870000000000003</v>
      </c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212"/>
      <c r="Y540" s="212"/>
      <c r="Z540" s="212"/>
      <c r="AA540" s="212"/>
      <c r="AB540" s="212"/>
      <c r="AC540" s="196"/>
      <c r="AD540" s="27"/>
      <c r="AE540" s="213"/>
      <c r="AF540" s="212">
        <f t="shared" si="55"/>
        <v>4.0572168133774511E-3</v>
      </c>
      <c r="AG540" s="212"/>
      <c r="AH540" s="212"/>
      <c r="AI540" s="212"/>
      <c r="AJ540" s="212"/>
      <c r="AK540" s="212"/>
      <c r="AL540" s="212"/>
      <c r="AM540" s="212"/>
      <c r="AN540" s="212"/>
      <c r="AO540" s="212"/>
      <c r="AP540" s="196"/>
      <c r="AQ540" s="196"/>
      <c r="AR540" s="211"/>
      <c r="AS540" s="212"/>
      <c r="AT540" s="212"/>
      <c r="AU540" s="212"/>
      <c r="AW540" s="58"/>
      <c r="AX540" s="58"/>
      <c r="AY540" s="58"/>
      <c r="AZ540" s="58"/>
    </row>
    <row r="541" spans="1:52" s="185" customFormat="1" ht="15" customHeight="1" x14ac:dyDescent="0.25">
      <c r="A541" s="200"/>
      <c r="B541" s="211"/>
      <c r="C541" s="212">
        <f t="shared" si="50"/>
        <v>53.000000000000483</v>
      </c>
      <c r="D541" s="231">
        <f>15+[2]!STEPLOAD(5)</f>
        <v>20</v>
      </c>
      <c r="E541" s="212">
        <f t="shared" si="51"/>
        <v>45.753958225150143</v>
      </c>
      <c r="F541" s="212">
        <f t="shared" si="52"/>
        <v>0.5</v>
      </c>
      <c r="G541" s="212">
        <f>5</f>
        <v>5</v>
      </c>
      <c r="H541" s="212">
        <f>60</f>
        <v>60</v>
      </c>
      <c r="I541" s="212">
        <f t="shared" si="53"/>
        <v>0.9</v>
      </c>
      <c r="J541" s="212">
        <f>1</f>
        <v>1</v>
      </c>
      <c r="K541" s="212">
        <f t="shared" si="54"/>
        <v>4.1870000000000003</v>
      </c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212"/>
      <c r="Y541" s="212"/>
      <c r="Z541" s="212"/>
      <c r="AA541" s="212"/>
      <c r="AB541" s="212"/>
      <c r="AC541" s="196"/>
      <c r="AD541" s="27"/>
      <c r="AE541" s="213"/>
      <c r="AF541" s="212">
        <f t="shared" si="55"/>
        <v>4.0166446452434279E-3</v>
      </c>
      <c r="AG541" s="212"/>
      <c r="AH541" s="212"/>
      <c r="AI541" s="212"/>
      <c r="AJ541" s="212"/>
      <c r="AK541" s="212"/>
      <c r="AL541" s="212"/>
      <c r="AM541" s="212"/>
      <c r="AN541" s="212"/>
      <c r="AO541" s="212"/>
      <c r="AP541" s="196"/>
      <c r="AQ541" s="196"/>
      <c r="AR541" s="211"/>
      <c r="AS541" s="212"/>
      <c r="AT541" s="212"/>
      <c r="AU541" s="212"/>
      <c r="AW541" s="58"/>
      <c r="AX541" s="58"/>
      <c r="AY541" s="58"/>
      <c r="AZ541" s="58"/>
    </row>
    <row r="542" spans="1:52" s="185" customFormat="1" ht="15" customHeight="1" x14ac:dyDescent="0.25">
      <c r="A542" s="200"/>
      <c r="B542" s="211"/>
      <c r="C542" s="212">
        <f t="shared" si="50"/>
        <v>53.100000000000485</v>
      </c>
      <c r="D542" s="231">
        <f>15+[2]!STEPLOAD(5)</f>
        <v>20</v>
      </c>
      <c r="E542" s="212">
        <f t="shared" si="51"/>
        <v>45.754359889614669</v>
      </c>
      <c r="F542" s="212">
        <f t="shared" si="52"/>
        <v>0.5</v>
      </c>
      <c r="G542" s="212">
        <f>5</f>
        <v>5</v>
      </c>
      <c r="H542" s="212">
        <f>60</f>
        <v>60</v>
      </c>
      <c r="I542" s="212">
        <f t="shared" si="53"/>
        <v>0.9</v>
      </c>
      <c r="J542" s="212">
        <f>1</f>
        <v>1</v>
      </c>
      <c r="K542" s="212">
        <f t="shared" si="54"/>
        <v>4.1870000000000003</v>
      </c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212"/>
      <c r="Y542" s="212"/>
      <c r="Z542" s="212"/>
      <c r="AA542" s="212"/>
      <c r="AB542" s="212"/>
      <c r="AC542" s="196"/>
      <c r="AD542" s="27"/>
      <c r="AE542" s="213"/>
      <c r="AF542" s="212">
        <f t="shared" si="55"/>
        <v>3.9764781987909892E-3</v>
      </c>
      <c r="AG542" s="212"/>
      <c r="AH542" s="212"/>
      <c r="AI542" s="212"/>
      <c r="AJ542" s="212"/>
      <c r="AK542" s="212"/>
      <c r="AL542" s="212"/>
      <c r="AM542" s="212"/>
      <c r="AN542" s="212"/>
      <c r="AO542" s="212"/>
      <c r="AP542" s="196"/>
      <c r="AQ542" s="196"/>
      <c r="AR542" s="211"/>
      <c r="AS542" s="212"/>
      <c r="AT542" s="212"/>
      <c r="AU542" s="212"/>
      <c r="AW542" s="58"/>
      <c r="AX542" s="58"/>
      <c r="AY542" s="58"/>
      <c r="AZ542" s="58"/>
    </row>
    <row r="543" spans="1:52" s="185" customFormat="1" ht="15" customHeight="1" x14ac:dyDescent="0.25">
      <c r="A543" s="200"/>
      <c r="B543" s="211"/>
      <c r="C543" s="212">
        <f t="shared" si="50"/>
        <v>53.200000000000486</v>
      </c>
      <c r="D543" s="231">
        <f>15+[2]!STEPLOAD(5)</f>
        <v>20</v>
      </c>
      <c r="E543" s="212">
        <f t="shared" si="51"/>
        <v>45.75475753743455</v>
      </c>
      <c r="F543" s="212">
        <f t="shared" si="52"/>
        <v>0.5</v>
      </c>
      <c r="G543" s="212">
        <f>5</f>
        <v>5</v>
      </c>
      <c r="H543" s="212">
        <f>60</f>
        <v>60</v>
      </c>
      <c r="I543" s="212">
        <f t="shared" si="53"/>
        <v>0.9</v>
      </c>
      <c r="J543" s="212">
        <f>1</f>
        <v>1</v>
      </c>
      <c r="K543" s="212">
        <f t="shared" si="54"/>
        <v>4.1870000000000003</v>
      </c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212"/>
      <c r="Y543" s="212"/>
      <c r="Z543" s="212"/>
      <c r="AA543" s="212"/>
      <c r="AB543" s="212"/>
      <c r="AC543" s="196"/>
      <c r="AD543" s="27"/>
      <c r="AE543" s="213"/>
      <c r="AF543" s="212">
        <f t="shared" si="55"/>
        <v>3.9367134168029061E-3</v>
      </c>
      <c r="AG543" s="212"/>
      <c r="AH543" s="212"/>
      <c r="AI543" s="212"/>
      <c r="AJ543" s="212"/>
      <c r="AK543" s="212"/>
      <c r="AL543" s="212"/>
      <c r="AM543" s="212"/>
      <c r="AN543" s="212"/>
      <c r="AO543" s="212"/>
      <c r="AP543" s="196"/>
      <c r="AQ543" s="196"/>
      <c r="AR543" s="211"/>
      <c r="AS543" s="212"/>
      <c r="AT543" s="212"/>
      <c r="AU543" s="212"/>
      <c r="AW543" s="58"/>
      <c r="AX543" s="58"/>
      <c r="AY543" s="58"/>
      <c r="AZ543" s="58"/>
    </row>
    <row r="544" spans="1:52" s="185" customFormat="1" ht="15" customHeight="1" x14ac:dyDescent="0.25">
      <c r="A544" s="200"/>
      <c r="B544" s="211"/>
      <c r="C544" s="212">
        <f t="shared" si="50"/>
        <v>53.300000000000487</v>
      </c>
      <c r="D544" s="231">
        <f>15+[2]!STEPLOAD(5)</f>
        <v>20</v>
      </c>
      <c r="E544" s="212">
        <f t="shared" si="51"/>
        <v>45.755151208776233</v>
      </c>
      <c r="F544" s="212">
        <f t="shared" si="52"/>
        <v>0.5</v>
      </c>
      <c r="G544" s="212">
        <f>5</f>
        <v>5</v>
      </c>
      <c r="H544" s="212">
        <f>60</f>
        <v>60</v>
      </c>
      <c r="I544" s="212">
        <f t="shared" si="53"/>
        <v>0.9</v>
      </c>
      <c r="J544" s="212">
        <f>1</f>
        <v>1</v>
      </c>
      <c r="K544" s="212">
        <f t="shared" si="54"/>
        <v>4.1870000000000003</v>
      </c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212"/>
      <c r="Y544" s="212"/>
      <c r="Z544" s="212"/>
      <c r="AA544" s="212"/>
      <c r="AB544" s="212"/>
      <c r="AC544" s="196"/>
      <c r="AD544" s="27"/>
      <c r="AE544" s="213"/>
      <c r="AF544" s="212">
        <f t="shared" si="55"/>
        <v>3.8973462826343841E-3</v>
      </c>
      <c r="AG544" s="212"/>
      <c r="AH544" s="212"/>
      <c r="AI544" s="212"/>
      <c r="AJ544" s="212"/>
      <c r="AK544" s="212"/>
      <c r="AL544" s="212"/>
      <c r="AM544" s="212"/>
      <c r="AN544" s="212"/>
      <c r="AO544" s="212"/>
      <c r="AP544" s="196"/>
      <c r="AQ544" s="196"/>
      <c r="AR544" s="211"/>
      <c r="AS544" s="212"/>
      <c r="AT544" s="212"/>
      <c r="AU544" s="212"/>
      <c r="AW544" s="58"/>
      <c r="AX544" s="58"/>
      <c r="AY544" s="58"/>
      <c r="AZ544" s="58"/>
    </row>
    <row r="545" spans="1:52" s="185" customFormat="1" ht="15" customHeight="1" x14ac:dyDescent="0.25">
      <c r="A545" s="200"/>
      <c r="B545" s="211"/>
      <c r="C545" s="212">
        <f t="shared" si="50"/>
        <v>53.400000000000489</v>
      </c>
      <c r="D545" s="231">
        <f>15+[2]!STEPLOAD(5)</f>
        <v>20</v>
      </c>
      <c r="E545" s="212">
        <f t="shared" si="51"/>
        <v>45.755540943404498</v>
      </c>
      <c r="F545" s="212">
        <f t="shared" si="52"/>
        <v>0.5</v>
      </c>
      <c r="G545" s="212">
        <f>5</f>
        <v>5</v>
      </c>
      <c r="H545" s="212">
        <f>60</f>
        <v>60</v>
      </c>
      <c r="I545" s="212">
        <f t="shared" si="53"/>
        <v>0.9</v>
      </c>
      <c r="J545" s="212">
        <f>1</f>
        <v>1</v>
      </c>
      <c r="K545" s="212">
        <f t="shared" si="54"/>
        <v>4.1870000000000003</v>
      </c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212"/>
      <c r="Y545" s="212"/>
      <c r="Z545" s="212"/>
      <c r="AA545" s="212"/>
      <c r="AB545" s="212"/>
      <c r="AC545" s="196"/>
      <c r="AD545" s="27"/>
      <c r="AE545" s="213"/>
      <c r="AF545" s="212">
        <f t="shared" si="55"/>
        <v>3.8583728198080536E-3</v>
      </c>
      <c r="AG545" s="212"/>
      <c r="AH545" s="212"/>
      <c r="AI545" s="212"/>
      <c r="AJ545" s="212"/>
      <c r="AK545" s="212"/>
      <c r="AL545" s="212"/>
      <c r="AM545" s="212"/>
      <c r="AN545" s="212"/>
      <c r="AO545" s="212"/>
      <c r="AP545" s="196"/>
      <c r="AQ545" s="196"/>
      <c r="AR545" s="211"/>
      <c r="AS545" s="212"/>
      <c r="AT545" s="212"/>
      <c r="AU545" s="212"/>
      <c r="AW545" s="58"/>
      <c r="AX545" s="58"/>
      <c r="AY545" s="58"/>
      <c r="AZ545" s="58"/>
    </row>
    <row r="546" spans="1:52" s="185" customFormat="1" ht="15" customHeight="1" x14ac:dyDescent="0.25">
      <c r="A546" s="200"/>
      <c r="B546" s="211"/>
      <c r="C546" s="212">
        <f t="shared" si="50"/>
        <v>53.50000000000049</v>
      </c>
      <c r="D546" s="231">
        <f>15+[2]!STEPLOAD(5)</f>
        <v>20</v>
      </c>
      <c r="E546" s="212">
        <f t="shared" si="51"/>
        <v>45.75592678068648</v>
      </c>
      <c r="F546" s="212">
        <f t="shared" si="52"/>
        <v>0.5</v>
      </c>
      <c r="G546" s="212">
        <f>5</f>
        <v>5</v>
      </c>
      <c r="H546" s="212">
        <f>60</f>
        <v>60</v>
      </c>
      <c r="I546" s="212">
        <f t="shared" si="53"/>
        <v>0.9</v>
      </c>
      <c r="J546" s="212">
        <f>1</f>
        <v>1</v>
      </c>
      <c r="K546" s="212">
        <f t="shared" si="54"/>
        <v>4.1870000000000003</v>
      </c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212"/>
      <c r="Y546" s="212"/>
      <c r="Z546" s="212"/>
      <c r="AA546" s="212"/>
      <c r="AB546" s="212"/>
      <c r="AC546" s="196"/>
      <c r="AD546" s="27"/>
      <c r="AE546" s="213"/>
      <c r="AF546" s="212">
        <f t="shared" si="55"/>
        <v>3.8197890916098487E-3</v>
      </c>
      <c r="AG546" s="212"/>
      <c r="AH546" s="212"/>
      <c r="AI546" s="212"/>
      <c r="AJ546" s="212"/>
      <c r="AK546" s="212"/>
      <c r="AL546" s="212"/>
      <c r="AM546" s="212"/>
      <c r="AN546" s="212"/>
      <c r="AO546" s="212"/>
      <c r="AP546" s="196"/>
      <c r="AQ546" s="196"/>
      <c r="AR546" s="211"/>
      <c r="AS546" s="212"/>
      <c r="AT546" s="212"/>
      <c r="AU546" s="212"/>
      <c r="AW546" s="58"/>
      <c r="AX546" s="58"/>
      <c r="AY546" s="58"/>
      <c r="AZ546" s="58"/>
    </row>
    <row r="547" spans="1:52" s="185" customFormat="1" ht="15" customHeight="1" x14ac:dyDescent="0.25">
      <c r="A547" s="200"/>
      <c r="B547" s="211"/>
      <c r="C547" s="212">
        <f t="shared" si="50"/>
        <v>53.600000000000492</v>
      </c>
      <c r="D547" s="231">
        <f>15+[2]!STEPLOAD(5)</f>
        <v>20</v>
      </c>
      <c r="E547" s="212">
        <f t="shared" si="51"/>
        <v>45.75630875959564</v>
      </c>
      <c r="F547" s="212">
        <f t="shared" si="52"/>
        <v>0.5</v>
      </c>
      <c r="G547" s="212">
        <f>5</f>
        <v>5</v>
      </c>
      <c r="H547" s="212">
        <f>60</f>
        <v>60</v>
      </c>
      <c r="I547" s="212">
        <f t="shared" si="53"/>
        <v>0.9</v>
      </c>
      <c r="J547" s="212">
        <f>1</f>
        <v>1</v>
      </c>
      <c r="K547" s="212">
        <f t="shared" si="54"/>
        <v>4.1870000000000003</v>
      </c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212"/>
      <c r="Y547" s="212"/>
      <c r="Z547" s="212"/>
      <c r="AA547" s="212"/>
      <c r="AB547" s="212"/>
      <c r="AC547" s="196"/>
      <c r="AD547" s="27"/>
      <c r="AE547" s="213"/>
      <c r="AF547" s="212">
        <f t="shared" si="55"/>
        <v>3.781591200693768E-3</v>
      </c>
      <c r="AG547" s="212"/>
      <c r="AH547" s="212"/>
      <c r="AI547" s="212"/>
      <c r="AJ547" s="212"/>
      <c r="AK547" s="212"/>
      <c r="AL547" s="212"/>
      <c r="AM547" s="212"/>
      <c r="AN547" s="212"/>
      <c r="AO547" s="212"/>
      <c r="AP547" s="196"/>
      <c r="AQ547" s="196"/>
      <c r="AR547" s="211"/>
      <c r="AS547" s="212"/>
      <c r="AT547" s="212"/>
      <c r="AU547" s="212"/>
      <c r="AW547" s="58"/>
      <c r="AX547" s="58"/>
      <c r="AY547" s="58"/>
      <c r="AZ547" s="58"/>
    </row>
    <row r="548" spans="1:52" s="185" customFormat="1" ht="15" customHeight="1" x14ac:dyDescent="0.25">
      <c r="A548" s="200"/>
      <c r="B548" s="211"/>
      <c r="C548" s="212">
        <f t="shared" si="50"/>
        <v>53.700000000000493</v>
      </c>
      <c r="D548" s="231">
        <f>15+[2]!STEPLOAD(5)</f>
        <v>20</v>
      </c>
      <c r="E548" s="212">
        <f t="shared" si="51"/>
        <v>45.756686918715708</v>
      </c>
      <c r="F548" s="212">
        <f t="shared" si="52"/>
        <v>0.5</v>
      </c>
      <c r="G548" s="212">
        <f>5</f>
        <v>5</v>
      </c>
      <c r="H548" s="212">
        <f>60</f>
        <v>60</v>
      </c>
      <c r="I548" s="212">
        <f t="shared" si="53"/>
        <v>0.9</v>
      </c>
      <c r="J548" s="212">
        <f>1</f>
        <v>1</v>
      </c>
      <c r="K548" s="212">
        <f t="shared" si="54"/>
        <v>4.1870000000000003</v>
      </c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212"/>
      <c r="Y548" s="212"/>
      <c r="Z548" s="212"/>
      <c r="AA548" s="212"/>
      <c r="AB548" s="212"/>
      <c r="AC548" s="196"/>
      <c r="AD548" s="27"/>
      <c r="AE548" s="213"/>
      <c r="AF548" s="212">
        <f t="shared" si="55"/>
        <v>3.743775288687079E-3</v>
      </c>
      <c r="AG548" s="212"/>
      <c r="AH548" s="212"/>
      <c r="AI548" s="212"/>
      <c r="AJ548" s="212"/>
      <c r="AK548" s="212"/>
      <c r="AL548" s="212"/>
      <c r="AM548" s="212"/>
      <c r="AN548" s="212"/>
      <c r="AO548" s="212"/>
      <c r="AP548" s="196"/>
      <c r="AQ548" s="196"/>
      <c r="AR548" s="211"/>
      <c r="AS548" s="212"/>
      <c r="AT548" s="212"/>
      <c r="AU548" s="212"/>
      <c r="AW548" s="58"/>
      <c r="AX548" s="58"/>
      <c r="AY548" s="58"/>
      <c r="AZ548" s="58"/>
    </row>
    <row r="549" spans="1:52" s="185" customFormat="1" ht="15" customHeight="1" x14ac:dyDescent="0.25">
      <c r="A549" s="200"/>
      <c r="B549" s="211"/>
      <c r="C549" s="212">
        <f t="shared" si="50"/>
        <v>53.800000000000495</v>
      </c>
      <c r="D549" s="231">
        <f>15+[2]!STEPLOAD(5)</f>
        <v>20</v>
      </c>
      <c r="E549" s="212">
        <f t="shared" si="51"/>
        <v>45.757061296244579</v>
      </c>
      <c r="F549" s="212">
        <f t="shared" si="52"/>
        <v>0.5</v>
      </c>
      <c r="G549" s="212">
        <f>5</f>
        <v>5</v>
      </c>
      <c r="H549" s="212">
        <f>60</f>
        <v>60</v>
      </c>
      <c r="I549" s="212">
        <f t="shared" si="53"/>
        <v>0.9</v>
      </c>
      <c r="J549" s="212">
        <f>1</f>
        <v>1</v>
      </c>
      <c r="K549" s="212">
        <f t="shared" si="54"/>
        <v>4.1870000000000003</v>
      </c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  <c r="AA549" s="212"/>
      <c r="AB549" s="212"/>
      <c r="AC549" s="196"/>
      <c r="AD549" s="27"/>
      <c r="AE549" s="213"/>
      <c r="AF549" s="212">
        <f t="shared" si="55"/>
        <v>3.7063375357999639E-3</v>
      </c>
      <c r="AG549" s="212"/>
      <c r="AH549" s="212"/>
      <c r="AI549" s="212"/>
      <c r="AJ549" s="212"/>
      <c r="AK549" s="212"/>
      <c r="AL549" s="212"/>
      <c r="AM549" s="212"/>
      <c r="AN549" s="212"/>
      <c r="AO549" s="212"/>
      <c r="AP549" s="196"/>
      <c r="AQ549" s="196"/>
      <c r="AR549" s="211"/>
      <c r="AS549" s="212"/>
      <c r="AT549" s="212"/>
      <c r="AU549" s="212"/>
      <c r="AW549" s="58"/>
      <c r="AX549" s="58"/>
      <c r="AY549" s="58"/>
      <c r="AZ549" s="58"/>
    </row>
    <row r="550" spans="1:52" s="185" customFormat="1" ht="15" customHeight="1" x14ac:dyDescent="0.25">
      <c r="A550" s="200"/>
      <c r="B550" s="211"/>
      <c r="C550" s="212">
        <f t="shared" si="50"/>
        <v>53.900000000000496</v>
      </c>
      <c r="D550" s="231">
        <f>15+[2]!STEPLOAD(5)</f>
        <v>20</v>
      </c>
      <c r="E550" s="212">
        <f t="shared" si="51"/>
        <v>45.757431929998162</v>
      </c>
      <c r="F550" s="212">
        <f t="shared" si="52"/>
        <v>0.5</v>
      </c>
      <c r="G550" s="212">
        <f>5</f>
        <v>5</v>
      </c>
      <c r="H550" s="212">
        <f>60</f>
        <v>60</v>
      </c>
      <c r="I550" s="212">
        <f t="shared" si="53"/>
        <v>0.9</v>
      </c>
      <c r="J550" s="212">
        <f>1</f>
        <v>1</v>
      </c>
      <c r="K550" s="212">
        <f t="shared" si="54"/>
        <v>4.1870000000000003</v>
      </c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212"/>
      <c r="Y550" s="212"/>
      <c r="Z550" s="212"/>
      <c r="AA550" s="212"/>
      <c r="AB550" s="212"/>
      <c r="AC550" s="196"/>
      <c r="AD550" s="27"/>
      <c r="AE550" s="213"/>
      <c r="AF550" s="212">
        <f t="shared" si="55"/>
        <v>3.6692741604418266E-3</v>
      </c>
      <c r="AG550" s="212"/>
      <c r="AH550" s="212"/>
      <c r="AI550" s="212"/>
      <c r="AJ550" s="212"/>
      <c r="AK550" s="212"/>
      <c r="AL550" s="212"/>
      <c r="AM550" s="212"/>
      <c r="AN550" s="212"/>
      <c r="AO550" s="212"/>
      <c r="AP550" s="196"/>
      <c r="AQ550" s="196"/>
      <c r="AR550" s="211"/>
      <c r="AS550" s="212"/>
      <c r="AT550" s="212"/>
      <c r="AU550" s="212"/>
      <c r="AW550" s="58"/>
      <c r="AX550" s="58"/>
      <c r="AY550" s="58"/>
      <c r="AZ550" s="58"/>
    </row>
    <row r="551" spans="1:52" s="185" customFormat="1" ht="15" customHeight="1" x14ac:dyDescent="0.25">
      <c r="A551" s="200"/>
      <c r="B551" s="211"/>
      <c r="C551" s="212">
        <f t="shared" si="50"/>
        <v>54.000000000000497</v>
      </c>
      <c r="D551" s="231">
        <f>15+[2]!STEPLOAD(5)</f>
        <v>20</v>
      </c>
      <c r="E551" s="212">
        <f t="shared" si="51"/>
        <v>45.757798857414208</v>
      </c>
      <c r="F551" s="212">
        <f t="shared" si="52"/>
        <v>0.5</v>
      </c>
      <c r="G551" s="212">
        <f>5</f>
        <v>5</v>
      </c>
      <c r="H551" s="212">
        <f>60</f>
        <v>60</v>
      </c>
      <c r="I551" s="212">
        <f t="shared" si="53"/>
        <v>0.9</v>
      </c>
      <c r="J551" s="212">
        <f>1</f>
        <v>1</v>
      </c>
      <c r="K551" s="212">
        <f t="shared" si="54"/>
        <v>4.1870000000000003</v>
      </c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212"/>
      <c r="Y551" s="212"/>
      <c r="Z551" s="212"/>
      <c r="AA551" s="212"/>
      <c r="AB551" s="212"/>
      <c r="AC551" s="196"/>
      <c r="AD551" s="27"/>
      <c r="AE551" s="213"/>
      <c r="AF551" s="212">
        <f t="shared" si="55"/>
        <v>3.6325814188371552E-3</v>
      </c>
      <c r="AG551" s="212"/>
      <c r="AH551" s="212"/>
      <c r="AI551" s="212"/>
      <c r="AJ551" s="212"/>
      <c r="AK551" s="212"/>
      <c r="AL551" s="212"/>
      <c r="AM551" s="212"/>
      <c r="AN551" s="212"/>
      <c r="AO551" s="212"/>
      <c r="AP551" s="196"/>
      <c r="AQ551" s="196"/>
      <c r="AR551" s="211"/>
      <c r="AS551" s="212"/>
      <c r="AT551" s="212"/>
      <c r="AU551" s="212"/>
      <c r="AW551" s="58"/>
      <c r="AX551" s="58"/>
      <c r="AY551" s="58"/>
      <c r="AZ551" s="58"/>
    </row>
    <row r="552" spans="1:52" s="185" customFormat="1" ht="15" customHeight="1" x14ac:dyDescent="0.25">
      <c r="A552" s="200"/>
      <c r="B552" s="211"/>
      <c r="C552" s="212">
        <f t="shared" si="50"/>
        <v>54.100000000000499</v>
      </c>
      <c r="D552" s="231">
        <f>15+[2]!STEPLOAD(5)</f>
        <v>20</v>
      </c>
      <c r="E552" s="212">
        <f t="shared" si="51"/>
        <v>45.75816211555609</v>
      </c>
      <c r="F552" s="212">
        <f t="shared" si="52"/>
        <v>0.5</v>
      </c>
      <c r="G552" s="212">
        <f>5</f>
        <v>5</v>
      </c>
      <c r="H552" s="212">
        <f>60</f>
        <v>60</v>
      </c>
      <c r="I552" s="212">
        <f t="shared" si="53"/>
        <v>0.9</v>
      </c>
      <c r="J552" s="212">
        <f>1</f>
        <v>1</v>
      </c>
      <c r="K552" s="212">
        <f t="shared" si="54"/>
        <v>4.1870000000000003</v>
      </c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212"/>
      <c r="Y552" s="212"/>
      <c r="Z552" s="212"/>
      <c r="AA552" s="212"/>
      <c r="AB552" s="212"/>
      <c r="AC552" s="196"/>
      <c r="AD552" s="27"/>
      <c r="AE552" s="213"/>
      <c r="AF552" s="212">
        <f t="shared" si="55"/>
        <v>3.5962556046489347E-3</v>
      </c>
      <c r="AG552" s="212"/>
      <c r="AH552" s="212"/>
      <c r="AI552" s="212"/>
      <c r="AJ552" s="212"/>
      <c r="AK552" s="212"/>
      <c r="AL552" s="212"/>
      <c r="AM552" s="212"/>
      <c r="AN552" s="212"/>
      <c r="AO552" s="212"/>
      <c r="AP552" s="196"/>
      <c r="AQ552" s="196"/>
      <c r="AR552" s="211"/>
      <c r="AS552" s="212"/>
      <c r="AT552" s="212"/>
      <c r="AU552" s="212"/>
      <c r="AW552" s="58"/>
      <c r="AX552" s="58"/>
      <c r="AY552" s="58"/>
      <c r="AZ552" s="58"/>
    </row>
    <row r="553" spans="1:52" s="185" customFormat="1" ht="15" customHeight="1" x14ac:dyDescent="0.25">
      <c r="A553" s="200"/>
      <c r="B553" s="211"/>
      <c r="C553" s="212">
        <f t="shared" si="50"/>
        <v>54.2000000000005</v>
      </c>
      <c r="D553" s="231">
        <f>15+[2]!STEPLOAD(5)</f>
        <v>20</v>
      </c>
      <c r="E553" s="212">
        <f t="shared" si="51"/>
        <v>45.758521741116553</v>
      </c>
      <c r="F553" s="212">
        <f t="shared" si="52"/>
        <v>0.5</v>
      </c>
      <c r="G553" s="212">
        <f>5</f>
        <v>5</v>
      </c>
      <c r="H553" s="212">
        <f>60</f>
        <v>60</v>
      </c>
      <c r="I553" s="212">
        <f t="shared" si="53"/>
        <v>0.9</v>
      </c>
      <c r="J553" s="212">
        <f>1</f>
        <v>1</v>
      </c>
      <c r="K553" s="212">
        <f t="shared" si="54"/>
        <v>4.1870000000000003</v>
      </c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  <c r="AA553" s="212"/>
      <c r="AB553" s="212"/>
      <c r="AC553" s="196"/>
      <c r="AD553" s="27"/>
      <c r="AE553" s="213"/>
      <c r="AF553" s="212">
        <f t="shared" si="55"/>
        <v>3.5602930486025031E-3</v>
      </c>
      <c r="AG553" s="212"/>
      <c r="AH553" s="212"/>
      <c r="AI553" s="212"/>
      <c r="AJ553" s="212"/>
      <c r="AK553" s="212"/>
      <c r="AL553" s="212"/>
      <c r="AM553" s="212"/>
      <c r="AN553" s="212"/>
      <c r="AO553" s="212"/>
      <c r="AP553" s="196"/>
      <c r="AQ553" s="196"/>
      <c r="AR553" s="211"/>
      <c r="AS553" s="212"/>
      <c r="AT553" s="212"/>
      <c r="AU553" s="212"/>
      <c r="AW553" s="58"/>
      <c r="AX553" s="58"/>
      <c r="AY553" s="58"/>
      <c r="AZ553" s="58"/>
    </row>
    <row r="554" spans="1:52" s="185" customFormat="1" ht="15" customHeight="1" x14ac:dyDescent="0.25">
      <c r="A554" s="200"/>
      <c r="B554" s="211"/>
      <c r="C554" s="212">
        <f t="shared" si="50"/>
        <v>54.300000000000502</v>
      </c>
      <c r="D554" s="231">
        <f>15+[2]!STEPLOAD(5)</f>
        <v>20</v>
      </c>
      <c r="E554" s="212">
        <f t="shared" si="51"/>
        <v>45.758877770421414</v>
      </c>
      <c r="F554" s="212">
        <f t="shared" si="52"/>
        <v>0.5</v>
      </c>
      <c r="G554" s="212">
        <f>5</f>
        <v>5</v>
      </c>
      <c r="H554" s="212">
        <f>60</f>
        <v>60</v>
      </c>
      <c r="I554" s="212">
        <f t="shared" si="53"/>
        <v>0.9</v>
      </c>
      <c r="J554" s="212">
        <f>1</f>
        <v>1</v>
      </c>
      <c r="K554" s="212">
        <f t="shared" si="54"/>
        <v>4.1870000000000003</v>
      </c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212"/>
      <c r="Y554" s="212"/>
      <c r="Z554" s="212"/>
      <c r="AA554" s="212"/>
      <c r="AB554" s="212"/>
      <c r="AC554" s="196"/>
      <c r="AD554" s="27"/>
      <c r="AE554" s="213"/>
      <c r="AF554" s="212">
        <f t="shared" si="55"/>
        <v>3.5246901181165136E-3</v>
      </c>
      <c r="AG554" s="212"/>
      <c r="AH554" s="212"/>
      <c r="AI554" s="212"/>
      <c r="AJ554" s="212"/>
      <c r="AK554" s="212"/>
      <c r="AL554" s="212"/>
      <c r="AM554" s="212"/>
      <c r="AN554" s="212"/>
      <c r="AO554" s="212"/>
      <c r="AP554" s="196"/>
      <c r="AQ554" s="196"/>
      <c r="AR554" s="211"/>
      <c r="AS554" s="212"/>
      <c r="AT554" s="212"/>
      <c r="AU554" s="212"/>
      <c r="AW554" s="58"/>
      <c r="AX554" s="58"/>
      <c r="AY554" s="58"/>
      <c r="AZ554" s="58"/>
    </row>
    <row r="555" spans="1:52" s="185" customFormat="1" ht="15" customHeight="1" x14ac:dyDescent="0.25">
      <c r="A555" s="200"/>
      <c r="B555" s="211"/>
      <c r="C555" s="212">
        <f t="shared" si="50"/>
        <v>54.400000000000503</v>
      </c>
      <c r="D555" s="231">
        <f>15+[2]!STEPLOAD(5)</f>
        <v>20</v>
      </c>
      <c r="E555" s="212">
        <f t="shared" si="51"/>
        <v>45.759230239433222</v>
      </c>
      <c r="F555" s="212">
        <f t="shared" si="52"/>
        <v>0.5</v>
      </c>
      <c r="G555" s="212">
        <f>5</f>
        <v>5</v>
      </c>
      <c r="H555" s="212">
        <f>60</f>
        <v>60</v>
      </c>
      <c r="I555" s="212">
        <f t="shared" si="53"/>
        <v>0.9</v>
      </c>
      <c r="J555" s="212">
        <f>1</f>
        <v>1</v>
      </c>
      <c r="K555" s="212">
        <f t="shared" si="54"/>
        <v>4.1870000000000003</v>
      </c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212"/>
      <c r="Y555" s="212"/>
      <c r="Z555" s="212"/>
      <c r="AA555" s="212"/>
      <c r="AB555" s="212"/>
      <c r="AC555" s="196"/>
      <c r="AD555" s="27"/>
      <c r="AE555" s="213"/>
      <c r="AF555" s="212">
        <f t="shared" si="55"/>
        <v>3.4894432169356726E-3</v>
      </c>
      <c r="AG555" s="212"/>
      <c r="AH555" s="212"/>
      <c r="AI555" s="212"/>
      <c r="AJ555" s="212"/>
      <c r="AK555" s="212"/>
      <c r="AL555" s="212"/>
      <c r="AM555" s="212"/>
      <c r="AN555" s="212"/>
      <c r="AO555" s="212"/>
      <c r="AP555" s="196"/>
      <c r="AQ555" s="196"/>
      <c r="AR555" s="211"/>
      <c r="AS555" s="212"/>
      <c r="AT555" s="212"/>
      <c r="AU555" s="212"/>
      <c r="AW555" s="58"/>
      <c r="AX555" s="58"/>
      <c r="AY555" s="58"/>
      <c r="AZ555" s="58"/>
    </row>
    <row r="556" spans="1:52" s="185" customFormat="1" ht="15" customHeight="1" x14ac:dyDescent="0.25">
      <c r="A556" s="200"/>
      <c r="B556" s="211"/>
      <c r="C556" s="212">
        <f t="shared" si="50"/>
        <v>54.500000000000504</v>
      </c>
      <c r="D556" s="231">
        <f>15+[2]!STEPLOAD(5)</f>
        <v>20</v>
      </c>
      <c r="E556" s="212">
        <f t="shared" si="51"/>
        <v>45.759579183754916</v>
      </c>
      <c r="F556" s="212">
        <f t="shared" si="52"/>
        <v>0.5</v>
      </c>
      <c r="G556" s="212">
        <f>5</f>
        <v>5</v>
      </c>
      <c r="H556" s="212">
        <f>60</f>
        <v>60</v>
      </c>
      <c r="I556" s="212">
        <f t="shared" si="53"/>
        <v>0.9</v>
      </c>
      <c r="J556" s="212">
        <f>1</f>
        <v>1</v>
      </c>
      <c r="K556" s="212">
        <f t="shared" si="54"/>
        <v>4.1870000000000003</v>
      </c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212"/>
      <c r="Y556" s="212"/>
      <c r="Z556" s="212"/>
      <c r="AA556" s="212"/>
      <c r="AB556" s="212"/>
      <c r="AC556" s="196"/>
      <c r="AD556" s="27"/>
      <c r="AE556" s="213"/>
      <c r="AF556" s="212">
        <f t="shared" si="55"/>
        <v>3.4545487847661427E-3</v>
      </c>
      <c r="AG556" s="212"/>
      <c r="AH556" s="212"/>
      <c r="AI556" s="212"/>
      <c r="AJ556" s="212"/>
      <c r="AK556" s="212"/>
      <c r="AL556" s="212"/>
      <c r="AM556" s="212"/>
      <c r="AN556" s="212"/>
      <c r="AO556" s="212"/>
      <c r="AP556" s="196"/>
      <c r="AQ556" s="196"/>
      <c r="AR556" s="211"/>
      <c r="AS556" s="212"/>
      <c r="AT556" s="212"/>
      <c r="AU556" s="212"/>
      <c r="AW556" s="58"/>
      <c r="AX556" s="58"/>
      <c r="AY556" s="58"/>
      <c r="AZ556" s="58"/>
    </row>
    <row r="557" spans="1:52" s="185" customFormat="1" ht="15" customHeight="1" x14ac:dyDescent="0.25">
      <c r="A557" s="200"/>
      <c r="B557" s="211"/>
      <c r="C557" s="212">
        <f t="shared" si="50"/>
        <v>54.600000000000506</v>
      </c>
      <c r="D557" s="231">
        <f>15+[2]!STEPLOAD(5)</f>
        <v>20</v>
      </c>
      <c r="E557" s="212">
        <f t="shared" si="51"/>
        <v>45.759924638633393</v>
      </c>
      <c r="F557" s="212">
        <f t="shared" si="52"/>
        <v>0.5</v>
      </c>
      <c r="G557" s="212">
        <f>5</f>
        <v>5</v>
      </c>
      <c r="H557" s="212">
        <f>60</f>
        <v>60</v>
      </c>
      <c r="I557" s="212">
        <f t="shared" si="53"/>
        <v>0.9</v>
      </c>
      <c r="J557" s="212">
        <f>1</f>
        <v>1</v>
      </c>
      <c r="K557" s="212">
        <f t="shared" si="54"/>
        <v>4.1870000000000003</v>
      </c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212"/>
      <c r="Y557" s="212"/>
      <c r="Z557" s="212"/>
      <c r="AA557" s="212"/>
      <c r="AB557" s="212"/>
      <c r="AC557" s="196"/>
      <c r="AD557" s="27"/>
      <c r="AE557" s="213"/>
      <c r="AF557" s="212">
        <f t="shared" si="55"/>
        <v>3.4200032969184946E-3</v>
      </c>
      <c r="AG557" s="212"/>
      <c r="AH557" s="212"/>
      <c r="AI557" s="212"/>
      <c r="AJ557" s="212"/>
      <c r="AK557" s="212"/>
      <c r="AL557" s="212"/>
      <c r="AM557" s="212"/>
      <c r="AN557" s="212"/>
      <c r="AO557" s="212"/>
      <c r="AP557" s="196"/>
      <c r="AQ557" s="196"/>
      <c r="AR557" s="211"/>
      <c r="AS557" s="212"/>
      <c r="AT557" s="212"/>
      <c r="AU557" s="212"/>
      <c r="AW557" s="58"/>
      <c r="AX557" s="58"/>
      <c r="AY557" s="58"/>
      <c r="AZ557" s="58"/>
    </row>
    <row r="558" spans="1:52" s="185" customFormat="1" ht="15" customHeight="1" x14ac:dyDescent="0.25">
      <c r="A558" s="200"/>
      <c r="B558" s="211"/>
      <c r="C558" s="212">
        <f t="shared" si="50"/>
        <v>54.700000000000507</v>
      </c>
      <c r="D558" s="231">
        <f>15+[2]!STEPLOAD(5)</f>
        <v>20</v>
      </c>
      <c r="E558" s="212">
        <f t="shared" si="51"/>
        <v>45.760266638963088</v>
      </c>
      <c r="F558" s="212">
        <f t="shared" si="52"/>
        <v>0.5</v>
      </c>
      <c r="G558" s="212">
        <f>5</f>
        <v>5</v>
      </c>
      <c r="H558" s="212">
        <f>60</f>
        <v>60</v>
      </c>
      <c r="I558" s="212">
        <f t="shared" si="53"/>
        <v>0.9</v>
      </c>
      <c r="J558" s="212">
        <f>1</f>
        <v>1</v>
      </c>
      <c r="K558" s="212">
        <f t="shared" si="54"/>
        <v>4.1870000000000003</v>
      </c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  <c r="AA558" s="212"/>
      <c r="AB558" s="212"/>
      <c r="AC558" s="196"/>
      <c r="AD558" s="27"/>
      <c r="AE558" s="213"/>
      <c r="AF558" s="212">
        <f t="shared" si="55"/>
        <v>3.3858032639488833E-3</v>
      </c>
      <c r="AG558" s="212"/>
      <c r="AH558" s="212"/>
      <c r="AI558" s="212"/>
      <c r="AJ558" s="212"/>
      <c r="AK558" s="212"/>
      <c r="AL558" s="212"/>
      <c r="AM558" s="212"/>
      <c r="AN558" s="212"/>
      <c r="AO558" s="212"/>
      <c r="AP558" s="196"/>
      <c r="AQ558" s="196"/>
      <c r="AR558" s="211"/>
      <c r="AS558" s="212"/>
      <c r="AT558" s="212"/>
      <c r="AU558" s="212"/>
      <c r="AW558" s="58"/>
      <c r="AX558" s="58"/>
      <c r="AY558" s="58"/>
      <c r="AZ558" s="58"/>
    </row>
    <row r="559" spans="1:52" s="185" customFormat="1" ht="15" customHeight="1" x14ac:dyDescent="0.25">
      <c r="A559" s="200"/>
      <c r="B559" s="211"/>
      <c r="C559" s="212">
        <f t="shared" si="50"/>
        <v>54.800000000000509</v>
      </c>
      <c r="D559" s="231">
        <f>15+[2]!STEPLOAD(5)</f>
        <v>20</v>
      </c>
      <c r="E559" s="212">
        <f t="shared" si="51"/>
        <v>45.760605219289481</v>
      </c>
      <c r="F559" s="212">
        <f t="shared" si="52"/>
        <v>0.5</v>
      </c>
      <c r="G559" s="212">
        <f>5</f>
        <v>5</v>
      </c>
      <c r="H559" s="212">
        <f>60</f>
        <v>60</v>
      </c>
      <c r="I559" s="212">
        <f t="shared" si="53"/>
        <v>0.9</v>
      </c>
      <c r="J559" s="212">
        <f>1</f>
        <v>1</v>
      </c>
      <c r="K559" s="212">
        <f t="shared" si="54"/>
        <v>4.1870000000000003</v>
      </c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212"/>
      <c r="Y559" s="212"/>
      <c r="Z559" s="212"/>
      <c r="AA559" s="212"/>
      <c r="AB559" s="212"/>
      <c r="AC559" s="196"/>
      <c r="AD559" s="27"/>
      <c r="AE559" s="213"/>
      <c r="AF559" s="212">
        <f t="shared" si="55"/>
        <v>3.351945231309994E-3</v>
      </c>
      <c r="AG559" s="212"/>
      <c r="AH559" s="212"/>
      <c r="AI559" s="212"/>
      <c r="AJ559" s="212"/>
      <c r="AK559" s="212"/>
      <c r="AL559" s="212"/>
      <c r="AM559" s="212"/>
      <c r="AN559" s="212"/>
      <c r="AO559" s="212"/>
      <c r="AP559" s="196"/>
      <c r="AQ559" s="196"/>
      <c r="AR559" s="211"/>
      <c r="AS559" s="212"/>
      <c r="AT559" s="212"/>
      <c r="AU559" s="212"/>
      <c r="AW559" s="58"/>
      <c r="AX559" s="58"/>
      <c r="AY559" s="58"/>
      <c r="AZ559" s="58"/>
    </row>
    <row r="560" spans="1:52" s="185" customFormat="1" ht="15" customHeight="1" x14ac:dyDescent="0.25">
      <c r="A560" s="200"/>
      <c r="B560" s="211"/>
      <c r="C560" s="212">
        <f t="shared" si="50"/>
        <v>54.90000000000051</v>
      </c>
      <c r="D560" s="231">
        <f>15+[2]!STEPLOAD(5)</f>
        <v>20</v>
      </c>
      <c r="E560" s="212">
        <f t="shared" si="51"/>
        <v>45.760940413812612</v>
      </c>
      <c r="F560" s="212">
        <f t="shared" si="52"/>
        <v>0.5</v>
      </c>
      <c r="G560" s="212">
        <f>5</f>
        <v>5</v>
      </c>
      <c r="H560" s="212">
        <f>60</f>
        <v>60</v>
      </c>
      <c r="I560" s="212">
        <f t="shared" si="53"/>
        <v>0.9</v>
      </c>
      <c r="J560" s="212">
        <f>1</f>
        <v>1</v>
      </c>
      <c r="K560" s="212">
        <f t="shared" si="54"/>
        <v>4.1870000000000003</v>
      </c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212"/>
      <c r="Y560" s="212"/>
      <c r="Z560" s="212"/>
      <c r="AA560" s="212"/>
      <c r="AB560" s="212"/>
      <c r="AC560" s="196"/>
      <c r="AD560" s="27"/>
      <c r="AE560" s="213"/>
      <c r="AF560" s="212">
        <f t="shared" si="55"/>
        <v>3.3184257789966587E-3</v>
      </c>
      <c r="AG560" s="212"/>
      <c r="AH560" s="212"/>
      <c r="AI560" s="212"/>
      <c r="AJ560" s="212"/>
      <c r="AK560" s="212"/>
      <c r="AL560" s="212"/>
      <c r="AM560" s="212"/>
      <c r="AN560" s="212"/>
      <c r="AO560" s="212"/>
      <c r="AP560" s="196"/>
      <c r="AQ560" s="196"/>
      <c r="AR560" s="211"/>
      <c r="AS560" s="212"/>
      <c r="AT560" s="212"/>
      <c r="AU560" s="212"/>
      <c r="AW560" s="58"/>
      <c r="AX560" s="58"/>
      <c r="AY560" s="58"/>
      <c r="AZ560" s="58"/>
    </row>
    <row r="561" spans="1:52" s="185" customFormat="1" ht="15" customHeight="1" x14ac:dyDescent="0.25">
      <c r="A561" s="200"/>
      <c r="B561" s="211"/>
      <c r="C561" s="212">
        <f t="shared" si="50"/>
        <v>55.000000000000512</v>
      </c>
      <c r="D561" s="231">
        <f>15+[2]!STEPLOAD(5)</f>
        <v>20</v>
      </c>
      <c r="E561" s="212">
        <f t="shared" si="51"/>
        <v>45.761272256390512</v>
      </c>
      <c r="F561" s="212">
        <f t="shared" si="52"/>
        <v>0.5</v>
      </c>
      <c r="G561" s="212">
        <f>5</f>
        <v>5</v>
      </c>
      <c r="H561" s="212">
        <f>60</f>
        <v>60</v>
      </c>
      <c r="I561" s="212">
        <f t="shared" si="53"/>
        <v>0.9</v>
      </c>
      <c r="J561" s="212">
        <f>1</f>
        <v>1</v>
      </c>
      <c r="K561" s="212">
        <f t="shared" si="54"/>
        <v>4.1870000000000003</v>
      </c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212"/>
      <c r="Y561" s="212"/>
      <c r="Z561" s="212"/>
      <c r="AA561" s="212"/>
      <c r="AB561" s="212"/>
      <c r="AC561" s="196"/>
      <c r="AD561" s="27"/>
      <c r="AE561" s="213"/>
      <c r="AF561" s="212">
        <f t="shared" si="55"/>
        <v>3.2852415212065722E-3</v>
      </c>
      <c r="AG561" s="212"/>
      <c r="AH561" s="212"/>
      <c r="AI561" s="212"/>
      <c r="AJ561" s="212"/>
      <c r="AK561" s="212"/>
      <c r="AL561" s="212"/>
      <c r="AM561" s="212"/>
      <c r="AN561" s="212"/>
      <c r="AO561" s="212"/>
      <c r="AP561" s="196"/>
      <c r="AQ561" s="196"/>
      <c r="AR561" s="211"/>
      <c r="AS561" s="212"/>
      <c r="AT561" s="212"/>
      <c r="AU561" s="212"/>
      <c r="AW561" s="58"/>
      <c r="AX561" s="58"/>
      <c r="AY561" s="58"/>
      <c r="AZ561" s="58"/>
    </row>
    <row r="562" spans="1:52" s="185" customFormat="1" ht="15" customHeight="1" x14ac:dyDescent="0.25">
      <c r="A562" s="200"/>
      <c r="B562" s="211"/>
      <c r="C562" s="212">
        <f t="shared" si="50"/>
        <v>55.100000000000513</v>
      </c>
      <c r="D562" s="231">
        <f>15+[2]!STEPLOAD(5)</f>
        <v>20</v>
      </c>
      <c r="E562" s="212">
        <f t="shared" si="51"/>
        <v>45.761600780542636</v>
      </c>
      <c r="F562" s="212">
        <f t="shared" si="52"/>
        <v>0.5</v>
      </c>
      <c r="G562" s="212">
        <f>5</f>
        <v>5</v>
      </c>
      <c r="H562" s="212">
        <f>60</f>
        <v>60</v>
      </c>
      <c r="I562" s="212">
        <f t="shared" si="53"/>
        <v>0.9</v>
      </c>
      <c r="J562" s="212">
        <f>1</f>
        <v>1</v>
      </c>
      <c r="K562" s="212">
        <f t="shared" si="54"/>
        <v>4.1870000000000003</v>
      </c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  <c r="AA562" s="212"/>
      <c r="AB562" s="212"/>
      <c r="AC562" s="196"/>
      <c r="AD562" s="27"/>
      <c r="AE562" s="213"/>
      <c r="AF562" s="212">
        <f t="shared" si="55"/>
        <v>3.2523891059943466E-3</v>
      </c>
      <c r="AG562" s="212"/>
      <c r="AH562" s="212"/>
      <c r="AI562" s="212"/>
      <c r="AJ562" s="212"/>
      <c r="AK562" s="212"/>
      <c r="AL562" s="212"/>
      <c r="AM562" s="212"/>
      <c r="AN562" s="212"/>
      <c r="AO562" s="212"/>
      <c r="AP562" s="196"/>
      <c r="AQ562" s="196"/>
      <c r="AR562" s="211"/>
      <c r="AS562" s="212"/>
      <c r="AT562" s="212"/>
      <c r="AU562" s="212"/>
      <c r="AW562" s="58"/>
      <c r="AX562" s="58"/>
      <c r="AY562" s="58"/>
      <c r="AZ562" s="58"/>
    </row>
    <row r="563" spans="1:52" s="185" customFormat="1" ht="15" customHeight="1" x14ac:dyDescent="0.25">
      <c r="A563" s="200"/>
      <c r="B563" s="211"/>
      <c r="C563" s="212">
        <f t="shared" si="50"/>
        <v>55.200000000000514</v>
      </c>
      <c r="D563" s="231">
        <f>15+[2]!STEPLOAD(5)</f>
        <v>20</v>
      </c>
      <c r="E563" s="212">
        <f t="shared" si="51"/>
        <v>45.761926019453234</v>
      </c>
      <c r="F563" s="212">
        <f t="shared" si="52"/>
        <v>0.5</v>
      </c>
      <c r="G563" s="212">
        <f>5</f>
        <v>5</v>
      </c>
      <c r="H563" s="212">
        <f>60</f>
        <v>60</v>
      </c>
      <c r="I563" s="212">
        <f t="shared" si="53"/>
        <v>0.9</v>
      </c>
      <c r="J563" s="212">
        <f>1</f>
        <v>1</v>
      </c>
      <c r="K563" s="212">
        <f t="shared" si="54"/>
        <v>4.1870000000000003</v>
      </c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212"/>
      <c r="Y563" s="212"/>
      <c r="Z563" s="212"/>
      <c r="AA563" s="212"/>
      <c r="AB563" s="212"/>
      <c r="AC563" s="196"/>
      <c r="AD563" s="27"/>
      <c r="AE563" s="213"/>
      <c r="AF563" s="212">
        <f t="shared" si="55"/>
        <v>3.2198652149344476E-3</v>
      </c>
      <c r="AG563" s="212"/>
      <c r="AH563" s="212"/>
      <c r="AI563" s="212"/>
      <c r="AJ563" s="212"/>
      <c r="AK563" s="212"/>
      <c r="AL563" s="212"/>
      <c r="AM563" s="212"/>
      <c r="AN563" s="212"/>
      <c r="AO563" s="212"/>
      <c r="AP563" s="196"/>
      <c r="AQ563" s="196"/>
      <c r="AR563" s="211"/>
      <c r="AS563" s="212"/>
      <c r="AT563" s="212"/>
      <c r="AU563" s="212"/>
      <c r="AW563" s="58"/>
      <c r="AX563" s="58"/>
      <c r="AY563" s="58"/>
      <c r="AZ563" s="58"/>
    </row>
    <row r="564" spans="1:52" s="185" customFormat="1" ht="15" customHeight="1" x14ac:dyDescent="0.25">
      <c r="A564" s="200"/>
      <c r="B564" s="211"/>
      <c r="C564" s="212">
        <f t="shared" si="50"/>
        <v>55.300000000000516</v>
      </c>
      <c r="D564" s="231">
        <f>15+[2]!STEPLOAD(5)</f>
        <v>20</v>
      </c>
      <c r="E564" s="212">
        <f t="shared" si="51"/>
        <v>45.762248005974726</v>
      </c>
      <c r="F564" s="212">
        <f t="shared" si="52"/>
        <v>0.5</v>
      </c>
      <c r="G564" s="212">
        <f>5</f>
        <v>5</v>
      </c>
      <c r="H564" s="212">
        <f>60</f>
        <v>60</v>
      </c>
      <c r="I564" s="212">
        <f t="shared" si="53"/>
        <v>0.9</v>
      </c>
      <c r="J564" s="212">
        <f>1</f>
        <v>1</v>
      </c>
      <c r="K564" s="212">
        <f t="shared" si="54"/>
        <v>4.1870000000000003</v>
      </c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212"/>
      <c r="Y564" s="212"/>
      <c r="Z564" s="212"/>
      <c r="AA564" s="212"/>
      <c r="AB564" s="212"/>
      <c r="AC564" s="196"/>
      <c r="AD564" s="27"/>
      <c r="AE564" s="213"/>
      <c r="AF564" s="212">
        <f t="shared" si="55"/>
        <v>3.1876665627854628E-3</v>
      </c>
      <c r="AG564" s="212"/>
      <c r="AH564" s="212"/>
      <c r="AI564" s="212"/>
      <c r="AJ564" s="212"/>
      <c r="AK564" s="212"/>
      <c r="AL564" s="212"/>
      <c r="AM564" s="212"/>
      <c r="AN564" s="212"/>
      <c r="AO564" s="212"/>
      <c r="AP564" s="196"/>
      <c r="AQ564" s="196"/>
      <c r="AR564" s="211"/>
      <c r="AS564" s="212"/>
      <c r="AT564" s="212"/>
      <c r="AU564" s="212"/>
      <c r="AW564" s="58"/>
      <c r="AX564" s="58"/>
      <c r="AY564" s="58"/>
      <c r="AZ564" s="58"/>
    </row>
    <row r="565" spans="1:52" s="185" customFormat="1" ht="15" customHeight="1" x14ac:dyDescent="0.25">
      <c r="A565" s="200"/>
      <c r="B565" s="211"/>
      <c r="C565" s="212">
        <f t="shared" si="50"/>
        <v>55.400000000000517</v>
      </c>
      <c r="D565" s="231">
        <f>15+[2]!STEPLOAD(5)</f>
        <v>20</v>
      </c>
      <c r="E565" s="212">
        <f t="shared" si="51"/>
        <v>45.762566772631004</v>
      </c>
      <c r="F565" s="212">
        <f t="shared" si="52"/>
        <v>0.5</v>
      </c>
      <c r="G565" s="212">
        <f>5</f>
        <v>5</v>
      </c>
      <c r="H565" s="212">
        <f>60</f>
        <v>60</v>
      </c>
      <c r="I565" s="212">
        <f t="shared" si="53"/>
        <v>0.9</v>
      </c>
      <c r="J565" s="212">
        <f>1</f>
        <v>1</v>
      </c>
      <c r="K565" s="212">
        <f t="shared" si="54"/>
        <v>4.1870000000000003</v>
      </c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212"/>
      <c r="Y565" s="212"/>
      <c r="Z565" s="212"/>
      <c r="AA565" s="212"/>
      <c r="AB565" s="212"/>
      <c r="AC565" s="196"/>
      <c r="AD565" s="27"/>
      <c r="AE565" s="213"/>
      <c r="AF565" s="212">
        <f t="shared" si="55"/>
        <v>3.1557898971574794E-3</v>
      </c>
      <c r="AG565" s="212"/>
      <c r="AH565" s="212"/>
      <c r="AI565" s="212"/>
      <c r="AJ565" s="212"/>
      <c r="AK565" s="212"/>
      <c r="AL565" s="212"/>
      <c r="AM565" s="212"/>
      <c r="AN565" s="212"/>
      <c r="AO565" s="212"/>
      <c r="AP565" s="196"/>
      <c r="AQ565" s="196"/>
      <c r="AR565" s="211"/>
      <c r="AS565" s="212"/>
      <c r="AT565" s="212"/>
      <c r="AU565" s="212"/>
      <c r="AW565" s="58"/>
      <c r="AX565" s="58"/>
      <c r="AY565" s="58"/>
      <c r="AZ565" s="58"/>
    </row>
    <row r="566" spans="1:52" s="185" customFormat="1" ht="15" customHeight="1" x14ac:dyDescent="0.25">
      <c r="A566" s="200"/>
      <c r="B566" s="211"/>
      <c r="C566" s="212">
        <f t="shared" si="50"/>
        <v>55.500000000000519</v>
      </c>
      <c r="D566" s="231">
        <f>15+[2]!STEPLOAD(5)</f>
        <v>20</v>
      </c>
      <c r="E566" s="212">
        <f t="shared" si="51"/>
        <v>45.762882351620718</v>
      </c>
      <c r="F566" s="212">
        <f t="shared" si="52"/>
        <v>0.5</v>
      </c>
      <c r="G566" s="212">
        <f>5</f>
        <v>5</v>
      </c>
      <c r="H566" s="212">
        <f>60</f>
        <v>60</v>
      </c>
      <c r="I566" s="212">
        <f t="shared" si="53"/>
        <v>0.9</v>
      </c>
      <c r="J566" s="212">
        <f>1</f>
        <v>1</v>
      </c>
      <c r="K566" s="212">
        <f t="shared" si="54"/>
        <v>4.1870000000000003</v>
      </c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212"/>
      <c r="Y566" s="212"/>
      <c r="Z566" s="212"/>
      <c r="AA566" s="212"/>
      <c r="AB566" s="212"/>
      <c r="AC566" s="196"/>
      <c r="AD566" s="27"/>
      <c r="AE566" s="213"/>
      <c r="AF566" s="212">
        <f t="shared" si="55"/>
        <v>3.1242319981861222E-3</v>
      </c>
      <c r="AG566" s="212"/>
      <c r="AH566" s="212"/>
      <c r="AI566" s="212"/>
      <c r="AJ566" s="212"/>
      <c r="AK566" s="212"/>
      <c r="AL566" s="212"/>
      <c r="AM566" s="212"/>
      <c r="AN566" s="212"/>
      <c r="AO566" s="212"/>
      <c r="AP566" s="196"/>
      <c r="AQ566" s="196"/>
      <c r="AR566" s="211"/>
      <c r="AS566" s="212"/>
      <c r="AT566" s="212"/>
      <c r="AU566" s="212"/>
      <c r="AW566" s="58"/>
      <c r="AX566" s="58"/>
      <c r="AY566" s="58"/>
      <c r="AZ566" s="58"/>
    </row>
    <row r="567" spans="1:52" s="185" customFormat="1" ht="15" customHeight="1" x14ac:dyDescent="0.25">
      <c r="A567" s="200"/>
      <c r="B567" s="211"/>
      <c r="C567" s="212">
        <f t="shared" si="50"/>
        <v>55.60000000000052</v>
      </c>
      <c r="D567" s="231">
        <f>15+[2]!STEPLOAD(5)</f>
        <v>20</v>
      </c>
      <c r="E567" s="212">
        <f t="shared" si="51"/>
        <v>45.763194774820533</v>
      </c>
      <c r="F567" s="212">
        <f t="shared" si="52"/>
        <v>0.5</v>
      </c>
      <c r="G567" s="212">
        <f>5</f>
        <v>5</v>
      </c>
      <c r="H567" s="212">
        <f>60</f>
        <v>60</v>
      </c>
      <c r="I567" s="212">
        <f t="shared" si="53"/>
        <v>0.9</v>
      </c>
      <c r="J567" s="212">
        <f>1</f>
        <v>1</v>
      </c>
      <c r="K567" s="212">
        <f t="shared" si="54"/>
        <v>4.1870000000000003</v>
      </c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212"/>
      <c r="Y567" s="212"/>
      <c r="Z567" s="212"/>
      <c r="AA567" s="212"/>
      <c r="AB567" s="212"/>
      <c r="AC567" s="196"/>
      <c r="AD567" s="27"/>
      <c r="AE567" s="213"/>
      <c r="AF567" s="212">
        <f t="shared" si="55"/>
        <v>3.092989678204372E-3</v>
      </c>
      <c r="AG567" s="212"/>
      <c r="AH567" s="212"/>
      <c r="AI567" s="212"/>
      <c r="AJ567" s="212"/>
      <c r="AK567" s="212"/>
      <c r="AL567" s="212"/>
      <c r="AM567" s="212"/>
      <c r="AN567" s="212"/>
      <c r="AO567" s="212"/>
      <c r="AP567" s="196"/>
      <c r="AQ567" s="196"/>
      <c r="AR567" s="211"/>
      <c r="AS567" s="212"/>
      <c r="AT567" s="212"/>
      <c r="AU567" s="212"/>
      <c r="AW567" s="58"/>
      <c r="AX567" s="58"/>
      <c r="AY567" s="58"/>
      <c r="AZ567" s="58"/>
    </row>
    <row r="568" spans="1:52" s="185" customFormat="1" ht="15" customHeight="1" x14ac:dyDescent="0.25">
      <c r="A568" s="200"/>
      <c r="B568" s="211"/>
      <c r="C568" s="212">
        <f t="shared" si="50"/>
        <v>55.700000000000522</v>
      </c>
      <c r="D568" s="231">
        <f>15+[2]!STEPLOAD(5)</f>
        <v>20</v>
      </c>
      <c r="E568" s="212">
        <f t="shared" si="51"/>
        <v>45.763504073788354</v>
      </c>
      <c r="F568" s="212">
        <f t="shared" si="52"/>
        <v>0.5</v>
      </c>
      <c r="G568" s="212">
        <f>5</f>
        <v>5</v>
      </c>
      <c r="H568" s="212">
        <f>60</f>
        <v>60</v>
      </c>
      <c r="I568" s="212">
        <f t="shared" si="53"/>
        <v>0.9</v>
      </c>
      <c r="J568" s="212">
        <f>1</f>
        <v>1</v>
      </c>
      <c r="K568" s="212">
        <f t="shared" si="54"/>
        <v>4.1870000000000003</v>
      </c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212"/>
      <c r="Y568" s="212"/>
      <c r="Z568" s="212"/>
      <c r="AA568" s="212"/>
      <c r="AB568" s="212"/>
      <c r="AC568" s="196"/>
      <c r="AD568" s="27"/>
      <c r="AE568" s="213"/>
      <c r="AF568" s="212">
        <f t="shared" si="55"/>
        <v>3.0620597814223771E-3</v>
      </c>
      <c r="AG568" s="212"/>
      <c r="AH568" s="212"/>
      <c r="AI568" s="212"/>
      <c r="AJ568" s="212"/>
      <c r="AK568" s="212"/>
      <c r="AL568" s="212"/>
      <c r="AM568" s="212"/>
      <c r="AN568" s="212"/>
      <c r="AO568" s="212"/>
      <c r="AP568" s="196"/>
      <c r="AQ568" s="196"/>
      <c r="AR568" s="211"/>
      <c r="AS568" s="212"/>
      <c r="AT568" s="212"/>
      <c r="AU568" s="212"/>
      <c r="AW568" s="58"/>
      <c r="AX568" s="58"/>
      <c r="AY568" s="58"/>
      <c r="AZ568" s="58"/>
    </row>
    <row r="569" spans="1:52" s="185" customFormat="1" ht="15" customHeight="1" x14ac:dyDescent="0.25">
      <c r="A569" s="200"/>
      <c r="B569" s="211"/>
      <c r="C569" s="212">
        <f t="shared" si="50"/>
        <v>55.800000000000523</v>
      </c>
      <c r="D569" s="231">
        <f>15+[2]!STEPLOAD(5)</f>
        <v>20</v>
      </c>
      <c r="E569" s="212">
        <f t="shared" si="51"/>
        <v>45.763810279766496</v>
      </c>
      <c r="F569" s="212">
        <f t="shared" si="52"/>
        <v>0.5</v>
      </c>
      <c r="G569" s="212">
        <f>5</f>
        <v>5</v>
      </c>
      <c r="H569" s="212">
        <f>60</f>
        <v>60</v>
      </c>
      <c r="I569" s="212">
        <f t="shared" si="53"/>
        <v>0.9</v>
      </c>
      <c r="J569" s="212">
        <f>1</f>
        <v>1</v>
      </c>
      <c r="K569" s="212">
        <f t="shared" si="54"/>
        <v>4.1870000000000003</v>
      </c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212"/>
      <c r="Y569" s="212"/>
      <c r="Z569" s="212"/>
      <c r="AA569" s="212"/>
      <c r="AB569" s="212"/>
      <c r="AC569" s="196"/>
      <c r="AD569" s="27"/>
      <c r="AE569" s="213"/>
      <c r="AF569" s="212">
        <f t="shared" si="55"/>
        <v>3.0314391836081533E-3</v>
      </c>
      <c r="AG569" s="212"/>
      <c r="AH569" s="212"/>
      <c r="AI569" s="212"/>
      <c r="AJ569" s="212"/>
      <c r="AK569" s="212"/>
      <c r="AL569" s="212"/>
      <c r="AM569" s="212"/>
      <c r="AN569" s="212"/>
      <c r="AO569" s="212"/>
      <c r="AP569" s="196"/>
      <c r="AQ569" s="196"/>
      <c r="AR569" s="211"/>
      <c r="AS569" s="212"/>
      <c r="AT569" s="212"/>
      <c r="AU569" s="212"/>
      <c r="AW569" s="58"/>
      <c r="AX569" s="58"/>
      <c r="AY569" s="58"/>
      <c r="AZ569" s="58"/>
    </row>
    <row r="570" spans="1:52" s="185" customFormat="1" ht="15" customHeight="1" x14ac:dyDescent="0.25">
      <c r="A570" s="200"/>
      <c r="B570" s="211"/>
      <c r="C570" s="212">
        <f t="shared" si="50"/>
        <v>55.900000000000524</v>
      </c>
      <c r="D570" s="231">
        <f>15+[2]!STEPLOAD(5)</f>
        <v>20</v>
      </c>
      <c r="E570" s="212">
        <f t="shared" si="51"/>
        <v>45.764113423684854</v>
      </c>
      <c r="F570" s="212">
        <f t="shared" si="52"/>
        <v>0.5</v>
      </c>
      <c r="G570" s="212">
        <f>5</f>
        <v>5</v>
      </c>
      <c r="H570" s="212">
        <f>60</f>
        <v>60</v>
      </c>
      <c r="I570" s="212">
        <f t="shared" si="53"/>
        <v>0.9</v>
      </c>
      <c r="J570" s="212">
        <f>1</f>
        <v>1</v>
      </c>
      <c r="K570" s="212">
        <f t="shared" si="54"/>
        <v>4.1870000000000003</v>
      </c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212"/>
      <c r="Y570" s="212"/>
      <c r="Z570" s="212"/>
      <c r="AA570" s="212"/>
      <c r="AB570" s="212"/>
      <c r="AC570" s="196"/>
      <c r="AD570" s="27"/>
      <c r="AE570" s="213"/>
      <c r="AF570" s="212">
        <f t="shared" si="55"/>
        <v>3.0011247917722805E-3</v>
      </c>
      <c r="AG570" s="212"/>
      <c r="AH570" s="212"/>
      <c r="AI570" s="212"/>
      <c r="AJ570" s="212"/>
      <c r="AK570" s="212"/>
      <c r="AL570" s="212"/>
      <c r="AM570" s="212"/>
      <c r="AN570" s="212"/>
      <c r="AO570" s="212"/>
      <c r="AP570" s="196"/>
      <c r="AQ570" s="196"/>
      <c r="AR570" s="211"/>
      <c r="AS570" s="212"/>
      <c r="AT570" s="212"/>
      <c r="AU570" s="212"/>
      <c r="AW570" s="58"/>
      <c r="AX570" s="58"/>
      <c r="AY570" s="58"/>
      <c r="AZ570" s="58"/>
    </row>
    <row r="571" spans="1:52" s="185" customFormat="1" ht="15" customHeight="1" x14ac:dyDescent="0.25">
      <c r="A571" s="200"/>
      <c r="B571" s="211"/>
      <c r="C571" s="212">
        <f t="shared" si="50"/>
        <v>56.000000000000526</v>
      </c>
      <c r="D571" s="231">
        <f>15+[2]!STEPLOAD(5)</f>
        <v>20</v>
      </c>
      <c r="E571" s="212">
        <f t="shared" si="51"/>
        <v>45.764413536164028</v>
      </c>
      <c r="F571" s="212">
        <f t="shared" si="52"/>
        <v>0.5</v>
      </c>
      <c r="G571" s="212">
        <f>5</f>
        <v>5</v>
      </c>
      <c r="H571" s="212">
        <f>60</f>
        <v>60</v>
      </c>
      <c r="I571" s="212">
        <f t="shared" si="53"/>
        <v>0.9</v>
      </c>
      <c r="J571" s="212">
        <f>1</f>
        <v>1</v>
      </c>
      <c r="K571" s="212">
        <f t="shared" si="54"/>
        <v>4.1870000000000003</v>
      </c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  <c r="AA571" s="212"/>
      <c r="AB571" s="212"/>
      <c r="AC571" s="196"/>
      <c r="AD571" s="27"/>
      <c r="AE571" s="213"/>
      <c r="AF571" s="212">
        <f t="shared" si="55"/>
        <v>2.9711135438552638E-3</v>
      </c>
      <c r="AG571" s="212"/>
      <c r="AH571" s="212"/>
      <c r="AI571" s="212"/>
      <c r="AJ571" s="212"/>
      <c r="AK571" s="212"/>
      <c r="AL571" s="212"/>
      <c r="AM571" s="212"/>
      <c r="AN571" s="212"/>
      <c r="AO571" s="212"/>
      <c r="AP571" s="196"/>
      <c r="AQ571" s="196"/>
      <c r="AR571" s="211"/>
      <c r="AS571" s="212"/>
      <c r="AT571" s="212"/>
      <c r="AU571" s="212"/>
      <c r="AW571" s="58"/>
      <c r="AX571" s="58"/>
      <c r="AY571" s="58"/>
      <c r="AZ571" s="58"/>
    </row>
    <row r="572" spans="1:52" s="185" customFormat="1" ht="15" customHeight="1" x14ac:dyDescent="0.25">
      <c r="A572" s="200"/>
      <c r="B572" s="211"/>
      <c r="C572" s="212">
        <f t="shared" si="50"/>
        <v>56.100000000000527</v>
      </c>
      <c r="D572" s="231">
        <f>15+[2]!STEPLOAD(5)</f>
        <v>20</v>
      </c>
      <c r="E572" s="212">
        <f t="shared" si="51"/>
        <v>45.764710647518413</v>
      </c>
      <c r="F572" s="212">
        <f t="shared" si="52"/>
        <v>0.5</v>
      </c>
      <c r="G572" s="212">
        <f>5</f>
        <v>5</v>
      </c>
      <c r="H572" s="212">
        <f>60</f>
        <v>60</v>
      </c>
      <c r="I572" s="212">
        <f t="shared" si="53"/>
        <v>0.9</v>
      </c>
      <c r="J572" s="212">
        <f>1</f>
        <v>1</v>
      </c>
      <c r="K572" s="212">
        <f t="shared" si="54"/>
        <v>4.1870000000000003</v>
      </c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  <c r="AA572" s="212"/>
      <c r="AB572" s="212"/>
      <c r="AC572" s="196"/>
      <c r="AD572" s="27"/>
      <c r="AE572" s="213"/>
      <c r="AF572" s="212">
        <f t="shared" si="55"/>
        <v>2.9414024084166712E-3</v>
      </c>
      <c r="AG572" s="212"/>
      <c r="AH572" s="212"/>
      <c r="AI572" s="212"/>
      <c r="AJ572" s="212"/>
      <c r="AK572" s="212"/>
      <c r="AL572" s="212"/>
      <c r="AM572" s="212"/>
      <c r="AN572" s="212"/>
      <c r="AO572" s="212"/>
      <c r="AP572" s="196"/>
      <c r="AQ572" s="196"/>
      <c r="AR572" s="211"/>
      <c r="AS572" s="212"/>
      <c r="AT572" s="212"/>
      <c r="AU572" s="212"/>
      <c r="AW572" s="58"/>
      <c r="AX572" s="58"/>
      <c r="AY572" s="58"/>
      <c r="AZ572" s="58"/>
    </row>
    <row r="573" spans="1:52" s="185" customFormat="1" ht="15" customHeight="1" x14ac:dyDescent="0.25">
      <c r="A573" s="200"/>
      <c r="B573" s="211"/>
      <c r="C573" s="212">
        <f t="shared" si="50"/>
        <v>56.200000000000529</v>
      </c>
      <c r="D573" s="231">
        <f>15+[2]!STEPLOAD(5)</f>
        <v>20</v>
      </c>
      <c r="E573" s="212">
        <f t="shared" si="51"/>
        <v>45.765004787759253</v>
      </c>
      <c r="F573" s="212">
        <f t="shared" si="52"/>
        <v>0.5</v>
      </c>
      <c r="G573" s="212">
        <f>5</f>
        <v>5</v>
      </c>
      <c r="H573" s="212">
        <f>60</f>
        <v>60</v>
      </c>
      <c r="I573" s="212">
        <f t="shared" si="53"/>
        <v>0.9</v>
      </c>
      <c r="J573" s="212">
        <f>1</f>
        <v>1</v>
      </c>
      <c r="K573" s="212">
        <f t="shared" si="54"/>
        <v>4.1870000000000003</v>
      </c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212"/>
      <c r="Y573" s="212"/>
      <c r="Z573" s="212"/>
      <c r="AA573" s="212"/>
      <c r="AB573" s="212"/>
      <c r="AC573" s="196"/>
      <c r="AD573" s="27"/>
      <c r="AE573" s="213"/>
      <c r="AF573" s="212">
        <f t="shared" si="55"/>
        <v>2.9119883843327088E-3</v>
      </c>
      <c r="AG573" s="212"/>
      <c r="AH573" s="212"/>
      <c r="AI573" s="212"/>
      <c r="AJ573" s="212"/>
      <c r="AK573" s="212"/>
      <c r="AL573" s="212"/>
      <c r="AM573" s="212"/>
      <c r="AN573" s="212"/>
      <c r="AO573" s="212"/>
      <c r="AP573" s="196"/>
      <c r="AQ573" s="196"/>
      <c r="AR573" s="211"/>
      <c r="AS573" s="212"/>
      <c r="AT573" s="212"/>
      <c r="AU573" s="212"/>
      <c r="AW573" s="58"/>
      <c r="AX573" s="58"/>
      <c r="AY573" s="58"/>
      <c r="AZ573" s="58"/>
    </row>
    <row r="574" spans="1:52" s="185" customFormat="1" ht="15" customHeight="1" x14ac:dyDescent="0.25">
      <c r="A574" s="200"/>
      <c r="B574" s="211"/>
      <c r="C574" s="212">
        <f t="shared" si="50"/>
        <v>56.30000000000053</v>
      </c>
      <c r="D574" s="231">
        <f>15+[2]!STEPLOAD(5)</f>
        <v>20</v>
      </c>
      <c r="E574" s="212">
        <f t="shared" si="51"/>
        <v>45.765295986597685</v>
      </c>
      <c r="F574" s="212">
        <f t="shared" si="52"/>
        <v>0.5</v>
      </c>
      <c r="G574" s="212">
        <f>5</f>
        <v>5</v>
      </c>
      <c r="H574" s="212">
        <f>60</f>
        <v>60</v>
      </c>
      <c r="I574" s="212">
        <f t="shared" si="53"/>
        <v>0.9</v>
      </c>
      <c r="J574" s="212">
        <f>1</f>
        <v>1</v>
      </c>
      <c r="K574" s="212">
        <f t="shared" si="54"/>
        <v>4.1870000000000003</v>
      </c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212"/>
      <c r="Y574" s="212"/>
      <c r="Z574" s="212"/>
      <c r="AA574" s="212"/>
      <c r="AB574" s="212"/>
      <c r="AC574" s="196"/>
      <c r="AD574" s="27"/>
      <c r="AE574" s="213"/>
      <c r="AF574" s="212">
        <f t="shared" si="55"/>
        <v>2.8828685004893551E-3</v>
      </c>
      <c r="AG574" s="212"/>
      <c r="AH574" s="212"/>
      <c r="AI574" s="212"/>
      <c r="AJ574" s="212"/>
      <c r="AK574" s="212"/>
      <c r="AL574" s="212"/>
      <c r="AM574" s="212"/>
      <c r="AN574" s="212"/>
      <c r="AO574" s="212"/>
      <c r="AP574" s="196"/>
      <c r="AQ574" s="196"/>
      <c r="AR574" s="211"/>
      <c r="AS574" s="212"/>
      <c r="AT574" s="212"/>
      <c r="AU574" s="212"/>
      <c r="AW574" s="58"/>
      <c r="AX574" s="58"/>
      <c r="AY574" s="58"/>
      <c r="AZ574" s="58"/>
    </row>
    <row r="575" spans="1:52" s="185" customFormat="1" ht="15" customHeight="1" x14ac:dyDescent="0.25">
      <c r="A575" s="200"/>
      <c r="B575" s="211"/>
      <c r="C575" s="212">
        <f t="shared" si="50"/>
        <v>56.400000000000531</v>
      </c>
      <c r="D575" s="231">
        <f>15+[2]!STEPLOAD(5)</f>
        <v>20</v>
      </c>
      <c r="E575" s="212">
        <f t="shared" si="51"/>
        <v>45.765584273447736</v>
      </c>
      <c r="F575" s="212">
        <f t="shared" si="52"/>
        <v>0.5</v>
      </c>
      <c r="G575" s="212">
        <f>5</f>
        <v>5</v>
      </c>
      <c r="H575" s="212">
        <f>60</f>
        <v>60</v>
      </c>
      <c r="I575" s="212">
        <f t="shared" si="53"/>
        <v>0.9</v>
      </c>
      <c r="J575" s="212">
        <f>1</f>
        <v>1</v>
      </c>
      <c r="K575" s="212">
        <f t="shared" si="54"/>
        <v>4.1870000000000003</v>
      </c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212"/>
      <c r="Y575" s="212"/>
      <c r="Z575" s="212"/>
      <c r="AA575" s="212"/>
      <c r="AB575" s="212"/>
      <c r="AC575" s="196"/>
      <c r="AD575" s="27"/>
      <c r="AE575" s="213"/>
      <c r="AF575" s="212">
        <f t="shared" si="55"/>
        <v>2.8540398154843771E-3</v>
      </c>
      <c r="AG575" s="212"/>
      <c r="AH575" s="212"/>
      <c r="AI575" s="212"/>
      <c r="AJ575" s="212"/>
      <c r="AK575" s="212"/>
      <c r="AL575" s="212"/>
      <c r="AM575" s="212"/>
      <c r="AN575" s="212"/>
      <c r="AO575" s="212"/>
      <c r="AP575" s="196"/>
      <c r="AQ575" s="196"/>
      <c r="AR575" s="211"/>
      <c r="AS575" s="212"/>
      <c r="AT575" s="212"/>
      <c r="AU575" s="212"/>
      <c r="AW575" s="58"/>
      <c r="AX575" s="58"/>
      <c r="AY575" s="58"/>
      <c r="AZ575" s="58"/>
    </row>
    <row r="576" spans="1:52" s="185" customFormat="1" ht="15" customHeight="1" x14ac:dyDescent="0.25">
      <c r="A576" s="200"/>
      <c r="B576" s="211"/>
      <c r="C576" s="212">
        <f t="shared" si="50"/>
        <v>56.500000000000533</v>
      </c>
      <c r="D576" s="231">
        <f>15+[2]!STEPLOAD(5)</f>
        <v>20</v>
      </c>
      <c r="E576" s="212">
        <f t="shared" si="51"/>
        <v>45.765869677429286</v>
      </c>
      <c r="F576" s="212">
        <f t="shared" si="52"/>
        <v>0.5</v>
      </c>
      <c r="G576" s="212">
        <f>5</f>
        <v>5</v>
      </c>
      <c r="H576" s="212">
        <f>60</f>
        <v>60</v>
      </c>
      <c r="I576" s="212">
        <f t="shared" si="53"/>
        <v>0.9</v>
      </c>
      <c r="J576" s="212">
        <f>1</f>
        <v>1</v>
      </c>
      <c r="K576" s="212">
        <f t="shared" si="54"/>
        <v>4.1870000000000003</v>
      </c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212"/>
      <c r="Y576" s="212"/>
      <c r="Z576" s="212"/>
      <c r="AA576" s="212"/>
      <c r="AB576" s="212"/>
      <c r="AC576" s="196"/>
      <c r="AD576" s="27"/>
      <c r="AE576" s="213"/>
      <c r="AF576" s="212">
        <f t="shared" si="55"/>
        <v>2.8254994173293468E-3</v>
      </c>
      <c r="AG576" s="212"/>
      <c r="AH576" s="212"/>
      <c r="AI576" s="212"/>
      <c r="AJ576" s="212"/>
      <c r="AK576" s="212"/>
      <c r="AL576" s="212"/>
      <c r="AM576" s="212"/>
      <c r="AN576" s="212"/>
      <c r="AO576" s="212"/>
      <c r="AP576" s="196"/>
      <c r="AQ576" s="196"/>
      <c r="AR576" s="211"/>
      <c r="AS576" s="212"/>
      <c r="AT576" s="212"/>
      <c r="AU576" s="212"/>
      <c r="AW576" s="58"/>
      <c r="AX576" s="58"/>
      <c r="AY576" s="58"/>
      <c r="AZ576" s="58"/>
    </row>
    <row r="577" spans="1:52" s="185" customFormat="1" ht="15" customHeight="1" x14ac:dyDescent="0.25">
      <c r="A577" s="200"/>
      <c r="B577" s="211"/>
      <c r="C577" s="212">
        <f t="shared" si="50"/>
        <v>56.600000000000534</v>
      </c>
      <c r="D577" s="231">
        <f>15+[2]!STEPLOAD(5)</f>
        <v>20</v>
      </c>
      <c r="E577" s="212">
        <f t="shared" si="51"/>
        <v>45.766152227371016</v>
      </c>
      <c r="F577" s="212">
        <f t="shared" si="52"/>
        <v>0.5</v>
      </c>
      <c r="G577" s="212">
        <f>5</f>
        <v>5</v>
      </c>
      <c r="H577" s="212">
        <f>60</f>
        <v>60</v>
      </c>
      <c r="I577" s="212">
        <f t="shared" si="53"/>
        <v>0.9</v>
      </c>
      <c r="J577" s="212">
        <f>1</f>
        <v>1</v>
      </c>
      <c r="K577" s="212">
        <f t="shared" si="54"/>
        <v>4.1870000000000003</v>
      </c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212"/>
      <c r="Y577" s="212"/>
      <c r="Z577" s="212"/>
      <c r="AA577" s="212"/>
      <c r="AB577" s="212"/>
      <c r="AC577" s="196"/>
      <c r="AD577" s="27"/>
      <c r="AE577" s="213"/>
      <c r="AF577" s="212">
        <f t="shared" si="55"/>
        <v>2.7972444231560978E-3</v>
      </c>
      <c r="AG577" s="212"/>
      <c r="AH577" s="212"/>
      <c r="AI577" s="212"/>
      <c r="AJ577" s="212"/>
      <c r="AK577" s="212"/>
      <c r="AL577" s="212"/>
      <c r="AM577" s="212"/>
      <c r="AN577" s="212"/>
      <c r="AO577" s="212"/>
      <c r="AP577" s="196"/>
      <c r="AQ577" s="196"/>
      <c r="AR577" s="211"/>
      <c r="AS577" s="212"/>
      <c r="AT577" s="212"/>
      <c r="AU577" s="212"/>
      <c r="AW577" s="58"/>
      <c r="AX577" s="58"/>
      <c r="AY577" s="58"/>
      <c r="AZ577" s="58"/>
    </row>
    <row r="578" spans="1:52" s="185" customFormat="1" ht="15" customHeight="1" x14ac:dyDescent="0.25">
      <c r="A578" s="200"/>
      <c r="B578" s="211"/>
      <c r="C578" s="212">
        <f t="shared" si="50"/>
        <v>56.700000000000536</v>
      </c>
      <c r="D578" s="231">
        <f>15+[2]!STEPLOAD(5)</f>
        <v>20</v>
      </c>
      <c r="E578" s="212">
        <f t="shared" si="51"/>
        <v>45.766431951813331</v>
      </c>
      <c r="F578" s="212">
        <f t="shared" si="52"/>
        <v>0.5</v>
      </c>
      <c r="G578" s="212">
        <f>5</f>
        <v>5</v>
      </c>
      <c r="H578" s="212">
        <f>60</f>
        <v>60</v>
      </c>
      <c r="I578" s="212">
        <f t="shared" si="53"/>
        <v>0.9</v>
      </c>
      <c r="J578" s="212">
        <f>1</f>
        <v>1</v>
      </c>
      <c r="K578" s="212">
        <f t="shared" si="54"/>
        <v>4.1870000000000003</v>
      </c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212"/>
      <c r="Y578" s="212"/>
      <c r="Z578" s="212"/>
      <c r="AA578" s="212"/>
      <c r="AB578" s="212"/>
      <c r="AC578" s="196"/>
      <c r="AD578" s="27"/>
      <c r="AE578" s="213"/>
      <c r="AF578" s="212">
        <f t="shared" si="55"/>
        <v>2.7692719789249587E-3</v>
      </c>
      <c r="AG578" s="212"/>
      <c r="AH578" s="212"/>
      <c r="AI578" s="212"/>
      <c r="AJ578" s="212"/>
      <c r="AK578" s="212"/>
      <c r="AL578" s="212"/>
      <c r="AM578" s="212"/>
      <c r="AN578" s="212"/>
      <c r="AO578" s="212"/>
      <c r="AP578" s="196"/>
      <c r="AQ578" s="196"/>
      <c r="AR578" s="211"/>
      <c r="AS578" s="212"/>
      <c r="AT578" s="212"/>
      <c r="AU578" s="212"/>
      <c r="AW578" s="58"/>
      <c r="AX578" s="58"/>
      <c r="AY578" s="58"/>
      <c r="AZ578" s="58"/>
    </row>
    <row r="579" spans="1:52" s="185" customFormat="1" ht="15" customHeight="1" x14ac:dyDescent="0.25">
      <c r="A579" s="200"/>
      <c r="B579" s="211"/>
      <c r="C579" s="212">
        <f t="shared" si="50"/>
        <v>56.800000000000537</v>
      </c>
      <c r="D579" s="231">
        <f>15+[2]!STEPLOAD(5)</f>
        <v>20</v>
      </c>
      <c r="E579" s="212">
        <f t="shared" si="51"/>
        <v>45.766708879011226</v>
      </c>
      <c r="F579" s="212">
        <f t="shared" si="52"/>
        <v>0.5</v>
      </c>
      <c r="G579" s="212">
        <f>5</f>
        <v>5</v>
      </c>
      <c r="H579" s="212">
        <f>60</f>
        <v>60</v>
      </c>
      <c r="I579" s="212">
        <f t="shared" si="53"/>
        <v>0.9</v>
      </c>
      <c r="J579" s="212">
        <f>1</f>
        <v>1</v>
      </c>
      <c r="K579" s="212">
        <f t="shared" si="54"/>
        <v>4.1870000000000003</v>
      </c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212"/>
      <c r="Y579" s="212"/>
      <c r="Z579" s="212"/>
      <c r="AA579" s="212"/>
      <c r="AB579" s="212"/>
      <c r="AC579" s="196"/>
      <c r="AD579" s="27"/>
      <c r="AE579" s="213"/>
      <c r="AF579" s="212">
        <f t="shared" si="55"/>
        <v>2.7415792591352073E-3</v>
      </c>
      <c r="AG579" s="212"/>
      <c r="AH579" s="212"/>
      <c r="AI579" s="212"/>
      <c r="AJ579" s="212"/>
      <c r="AK579" s="212"/>
      <c r="AL579" s="212"/>
      <c r="AM579" s="212"/>
      <c r="AN579" s="212"/>
      <c r="AO579" s="212"/>
      <c r="AP579" s="196"/>
      <c r="AQ579" s="196"/>
      <c r="AR579" s="211"/>
      <c r="AS579" s="212"/>
      <c r="AT579" s="212"/>
      <c r="AU579" s="212"/>
      <c r="AW579" s="58"/>
      <c r="AX579" s="58"/>
      <c r="AY579" s="58"/>
      <c r="AZ579" s="58"/>
    </row>
    <row r="580" spans="1:52" s="185" customFormat="1" ht="15" customHeight="1" x14ac:dyDescent="0.25">
      <c r="A580" s="200"/>
      <c r="B580" s="211"/>
      <c r="C580" s="212">
        <f t="shared" si="50"/>
        <v>56.900000000000539</v>
      </c>
      <c r="D580" s="231">
        <f>15+[2]!STEPLOAD(5)</f>
        <v>20</v>
      </c>
      <c r="E580" s="212">
        <f t="shared" si="51"/>
        <v>45.766983036937141</v>
      </c>
      <c r="F580" s="212">
        <f t="shared" si="52"/>
        <v>0.5</v>
      </c>
      <c r="G580" s="212">
        <f>5</f>
        <v>5</v>
      </c>
      <c r="H580" s="212">
        <f>60</f>
        <v>60</v>
      </c>
      <c r="I580" s="212">
        <f t="shared" si="53"/>
        <v>0.9</v>
      </c>
      <c r="J580" s="212">
        <f>1</f>
        <v>1</v>
      </c>
      <c r="K580" s="212">
        <f t="shared" si="54"/>
        <v>4.1870000000000003</v>
      </c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212"/>
      <c r="Y580" s="212"/>
      <c r="Z580" s="212"/>
      <c r="AA580" s="212"/>
      <c r="AB580" s="212"/>
      <c r="AC580" s="196"/>
      <c r="AD580" s="27"/>
      <c r="AE580" s="213"/>
      <c r="AF580" s="212">
        <f t="shared" si="55"/>
        <v>2.7141634665439618E-3</v>
      </c>
      <c r="AG580" s="212"/>
      <c r="AH580" s="212"/>
      <c r="AI580" s="212"/>
      <c r="AJ580" s="212"/>
      <c r="AK580" s="212"/>
      <c r="AL580" s="212"/>
      <c r="AM580" s="212"/>
      <c r="AN580" s="212"/>
      <c r="AO580" s="212"/>
      <c r="AP580" s="196"/>
      <c r="AQ580" s="196"/>
      <c r="AR580" s="211"/>
      <c r="AS580" s="212"/>
      <c r="AT580" s="212"/>
      <c r="AU580" s="212"/>
      <c r="AW580" s="58"/>
      <c r="AX580" s="58"/>
      <c r="AY580" s="58"/>
      <c r="AZ580" s="58"/>
    </row>
    <row r="581" spans="1:52" s="185" customFormat="1" ht="15" customHeight="1" x14ac:dyDescent="0.25">
      <c r="A581" s="200"/>
      <c r="B581" s="211"/>
      <c r="C581" s="212">
        <f t="shared" si="50"/>
        <v>57.00000000000054</v>
      </c>
      <c r="D581" s="231">
        <f>15+[2]!STEPLOAD(5)</f>
        <v>20</v>
      </c>
      <c r="E581" s="212">
        <f t="shared" si="51"/>
        <v>45.767254453283797</v>
      </c>
      <c r="F581" s="212">
        <f t="shared" si="52"/>
        <v>0.5</v>
      </c>
      <c r="G581" s="212">
        <f>5</f>
        <v>5</v>
      </c>
      <c r="H581" s="212">
        <f>60</f>
        <v>60</v>
      </c>
      <c r="I581" s="212">
        <f t="shared" si="53"/>
        <v>0.9</v>
      </c>
      <c r="J581" s="212">
        <f>1</f>
        <v>1</v>
      </c>
      <c r="K581" s="212">
        <f t="shared" si="54"/>
        <v>4.1870000000000003</v>
      </c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212"/>
      <c r="Y581" s="212"/>
      <c r="Z581" s="212"/>
      <c r="AA581" s="212"/>
      <c r="AB581" s="212"/>
      <c r="AC581" s="196"/>
      <c r="AD581" s="27"/>
      <c r="AE581" s="213"/>
      <c r="AF581" s="212">
        <f t="shared" si="55"/>
        <v>2.6870218318779671E-3</v>
      </c>
      <c r="AG581" s="212"/>
      <c r="AH581" s="212"/>
      <c r="AI581" s="212"/>
      <c r="AJ581" s="212"/>
      <c r="AK581" s="212"/>
      <c r="AL581" s="212"/>
      <c r="AM581" s="212"/>
      <c r="AN581" s="212"/>
      <c r="AO581" s="212"/>
      <c r="AP581" s="196"/>
      <c r="AQ581" s="196"/>
      <c r="AR581" s="211"/>
      <c r="AS581" s="212"/>
      <c r="AT581" s="212"/>
      <c r="AU581" s="212"/>
      <c r="AW581" s="58"/>
      <c r="AX581" s="58"/>
      <c r="AY581" s="58"/>
      <c r="AZ581" s="58"/>
    </row>
    <row r="582" spans="1:52" s="185" customFormat="1" ht="15" customHeight="1" x14ac:dyDescent="0.25">
      <c r="A582" s="200"/>
      <c r="B582" s="211"/>
      <c r="C582" s="212">
        <f t="shared" si="50"/>
        <v>57.100000000000541</v>
      </c>
      <c r="D582" s="231">
        <f>15+[2]!STEPLOAD(5)</f>
        <v>20</v>
      </c>
      <c r="E582" s="212">
        <f t="shared" si="51"/>
        <v>45.767523155466982</v>
      </c>
      <c r="F582" s="212">
        <f t="shared" si="52"/>
        <v>0.5</v>
      </c>
      <c r="G582" s="212">
        <f>5</f>
        <v>5</v>
      </c>
      <c r="H582" s="212">
        <f>60</f>
        <v>60</v>
      </c>
      <c r="I582" s="212">
        <f t="shared" si="53"/>
        <v>0.9</v>
      </c>
      <c r="J582" s="212">
        <f>1</f>
        <v>1</v>
      </c>
      <c r="K582" s="212">
        <f t="shared" si="54"/>
        <v>4.1870000000000003</v>
      </c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212"/>
      <c r="Y582" s="212"/>
      <c r="Z582" s="212"/>
      <c r="AA582" s="212"/>
      <c r="AB582" s="212"/>
      <c r="AC582" s="196"/>
      <c r="AD582" s="27"/>
      <c r="AE582" s="213"/>
      <c r="AF582" s="212">
        <f t="shared" si="55"/>
        <v>2.6601516135595915E-3</v>
      </c>
      <c r="AG582" s="212"/>
      <c r="AH582" s="212"/>
      <c r="AI582" s="212"/>
      <c r="AJ582" s="212"/>
      <c r="AK582" s="212"/>
      <c r="AL582" s="212"/>
      <c r="AM582" s="212"/>
      <c r="AN582" s="212"/>
      <c r="AO582" s="212"/>
      <c r="AP582" s="196"/>
      <c r="AQ582" s="196"/>
      <c r="AR582" s="211"/>
      <c r="AS582" s="212"/>
      <c r="AT582" s="212"/>
      <c r="AU582" s="212"/>
      <c r="AW582" s="58"/>
      <c r="AX582" s="58"/>
      <c r="AY582" s="58"/>
      <c r="AZ582" s="58"/>
    </row>
    <row r="583" spans="1:52" s="185" customFormat="1" ht="15" customHeight="1" x14ac:dyDescent="0.25">
      <c r="A583" s="200"/>
      <c r="B583" s="211"/>
      <c r="C583" s="212">
        <f t="shared" si="50"/>
        <v>57.200000000000543</v>
      </c>
      <c r="D583" s="231">
        <f>15+[2]!STEPLOAD(5)</f>
        <v>20</v>
      </c>
      <c r="E583" s="212">
        <f t="shared" si="51"/>
        <v>45.76778917062834</v>
      </c>
      <c r="F583" s="212">
        <f t="shared" si="52"/>
        <v>0.5</v>
      </c>
      <c r="G583" s="212">
        <f>5</f>
        <v>5</v>
      </c>
      <c r="H583" s="212">
        <f>60</f>
        <v>60</v>
      </c>
      <c r="I583" s="212">
        <f t="shared" si="53"/>
        <v>0.9</v>
      </c>
      <c r="J583" s="212">
        <f>1</f>
        <v>1</v>
      </c>
      <c r="K583" s="212">
        <f t="shared" si="54"/>
        <v>4.1870000000000003</v>
      </c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212"/>
      <c r="Y583" s="212"/>
      <c r="Z583" s="212"/>
      <c r="AA583" s="212"/>
      <c r="AB583" s="212"/>
      <c r="AC583" s="196"/>
      <c r="AD583" s="27"/>
      <c r="AE583" s="213"/>
      <c r="AF583" s="212">
        <f t="shared" si="55"/>
        <v>2.6335500974239423E-3</v>
      </c>
      <c r="AG583" s="212"/>
      <c r="AH583" s="212"/>
      <c r="AI583" s="212"/>
      <c r="AJ583" s="212"/>
      <c r="AK583" s="212"/>
      <c r="AL583" s="212"/>
      <c r="AM583" s="212"/>
      <c r="AN583" s="212"/>
      <c r="AO583" s="212"/>
      <c r="AP583" s="196"/>
      <c r="AQ583" s="196"/>
      <c r="AR583" s="211"/>
      <c r="AS583" s="212"/>
      <c r="AT583" s="212"/>
      <c r="AU583" s="212"/>
      <c r="AW583" s="58"/>
      <c r="AX583" s="58"/>
      <c r="AY583" s="58"/>
      <c r="AZ583" s="58"/>
    </row>
    <row r="584" spans="1:52" s="185" customFormat="1" ht="15" customHeight="1" x14ac:dyDescent="0.25">
      <c r="A584" s="200"/>
      <c r="B584" s="211"/>
      <c r="C584" s="212">
        <f t="shared" si="50"/>
        <v>57.300000000000544</v>
      </c>
      <c r="D584" s="231">
        <f>15+[2]!STEPLOAD(5)</f>
        <v>20</v>
      </c>
      <c r="E584" s="212">
        <f t="shared" si="51"/>
        <v>45.768052525638083</v>
      </c>
      <c r="F584" s="212">
        <f t="shared" si="52"/>
        <v>0.5</v>
      </c>
      <c r="G584" s="212">
        <f>5</f>
        <v>5</v>
      </c>
      <c r="H584" s="212">
        <f>60</f>
        <v>60</v>
      </c>
      <c r="I584" s="212">
        <f t="shared" si="53"/>
        <v>0.9</v>
      </c>
      <c r="J584" s="212">
        <f>1</f>
        <v>1</v>
      </c>
      <c r="K584" s="212">
        <f t="shared" si="54"/>
        <v>4.1870000000000003</v>
      </c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212"/>
      <c r="Y584" s="212"/>
      <c r="Z584" s="212"/>
      <c r="AA584" s="212"/>
      <c r="AB584" s="212"/>
      <c r="AC584" s="196"/>
      <c r="AD584" s="27"/>
      <c r="AE584" s="213"/>
      <c r="AF584" s="212">
        <f t="shared" si="55"/>
        <v>2.6072145964497473E-3</v>
      </c>
      <c r="AG584" s="212"/>
      <c r="AH584" s="212"/>
      <c r="AI584" s="212"/>
      <c r="AJ584" s="212"/>
      <c r="AK584" s="212"/>
      <c r="AL584" s="212"/>
      <c r="AM584" s="212"/>
      <c r="AN584" s="212"/>
      <c r="AO584" s="212"/>
      <c r="AP584" s="196"/>
      <c r="AQ584" s="196"/>
      <c r="AR584" s="211"/>
      <c r="AS584" s="212"/>
      <c r="AT584" s="212"/>
      <c r="AU584" s="212"/>
      <c r="AW584" s="58"/>
      <c r="AX584" s="58"/>
      <c r="AY584" s="58"/>
      <c r="AZ584" s="58"/>
    </row>
    <row r="585" spans="1:52" s="185" customFormat="1" ht="15" customHeight="1" x14ac:dyDescent="0.25">
      <c r="A585" s="200"/>
      <c r="B585" s="211"/>
      <c r="C585" s="212">
        <f t="shared" si="50"/>
        <v>57.400000000000546</v>
      </c>
      <c r="D585" s="231">
        <f>15+[2]!STEPLOAD(5)</f>
        <v>20</v>
      </c>
      <c r="E585" s="212">
        <f t="shared" si="51"/>
        <v>45.76831324709773</v>
      </c>
      <c r="F585" s="212">
        <f t="shared" si="52"/>
        <v>0.5</v>
      </c>
      <c r="G585" s="212">
        <f>5</f>
        <v>5</v>
      </c>
      <c r="H585" s="212">
        <f>60</f>
        <v>60</v>
      </c>
      <c r="I585" s="212">
        <f t="shared" si="53"/>
        <v>0.9</v>
      </c>
      <c r="J585" s="212">
        <f>1</f>
        <v>1</v>
      </c>
      <c r="K585" s="212">
        <f t="shared" si="54"/>
        <v>4.1870000000000003</v>
      </c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196"/>
      <c r="AD585" s="27"/>
      <c r="AE585" s="213"/>
      <c r="AF585" s="212">
        <f t="shared" si="55"/>
        <v>2.5811424504849079E-3</v>
      </c>
      <c r="AG585" s="212"/>
      <c r="AH585" s="212"/>
      <c r="AI585" s="212"/>
      <c r="AJ585" s="212"/>
      <c r="AK585" s="212"/>
      <c r="AL585" s="212"/>
      <c r="AM585" s="212"/>
      <c r="AN585" s="212"/>
      <c r="AO585" s="212"/>
      <c r="AP585" s="196"/>
      <c r="AQ585" s="196"/>
      <c r="AR585" s="211"/>
      <c r="AS585" s="212"/>
      <c r="AT585" s="212"/>
      <c r="AU585" s="212"/>
      <c r="AW585" s="58"/>
      <c r="AX585" s="58"/>
      <c r="AY585" s="58"/>
      <c r="AZ585" s="58"/>
    </row>
    <row r="586" spans="1:52" s="185" customFormat="1" ht="15" customHeight="1" x14ac:dyDescent="0.25">
      <c r="A586" s="200"/>
      <c r="B586" s="211"/>
      <c r="C586" s="212">
        <f t="shared" si="50"/>
        <v>57.500000000000547</v>
      </c>
      <c r="D586" s="231">
        <f>15+[2]!STEPLOAD(5)</f>
        <v>20</v>
      </c>
      <c r="E586" s="212">
        <f t="shared" si="51"/>
        <v>45.768571361342779</v>
      </c>
      <c r="F586" s="212">
        <f t="shared" si="52"/>
        <v>0.5</v>
      </c>
      <c r="G586" s="212">
        <f>5</f>
        <v>5</v>
      </c>
      <c r="H586" s="212">
        <f>60</f>
        <v>60</v>
      </c>
      <c r="I586" s="212">
        <f t="shared" si="53"/>
        <v>0.9</v>
      </c>
      <c r="J586" s="212">
        <f>1</f>
        <v>1</v>
      </c>
      <c r="K586" s="212">
        <f t="shared" si="54"/>
        <v>4.1870000000000003</v>
      </c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196"/>
      <c r="AD586" s="27"/>
      <c r="AE586" s="213"/>
      <c r="AF586" s="212">
        <f t="shared" si="55"/>
        <v>2.5553310259800455E-3</v>
      </c>
      <c r="AG586" s="212"/>
      <c r="AH586" s="212"/>
      <c r="AI586" s="212"/>
      <c r="AJ586" s="212"/>
      <c r="AK586" s="212"/>
      <c r="AL586" s="212"/>
      <c r="AM586" s="212"/>
      <c r="AN586" s="212"/>
      <c r="AO586" s="212"/>
      <c r="AP586" s="196"/>
      <c r="AQ586" s="196"/>
      <c r="AR586" s="211"/>
      <c r="AS586" s="212"/>
      <c r="AT586" s="212"/>
      <c r="AU586" s="212"/>
      <c r="AW586" s="58"/>
      <c r="AX586" s="58"/>
      <c r="AY586" s="58"/>
      <c r="AZ586" s="58"/>
    </row>
    <row r="587" spans="1:52" s="185" customFormat="1" ht="15" customHeight="1" x14ac:dyDescent="0.25">
      <c r="A587" s="200"/>
      <c r="B587" s="211"/>
      <c r="C587" s="212">
        <f t="shared" si="50"/>
        <v>57.600000000000549</v>
      </c>
      <c r="D587" s="231">
        <f>15+[2]!STEPLOAD(5)</f>
        <v>20</v>
      </c>
      <c r="E587" s="212">
        <f t="shared" si="51"/>
        <v>45.768826894445375</v>
      </c>
      <c r="F587" s="212">
        <f t="shared" si="52"/>
        <v>0.5</v>
      </c>
      <c r="G587" s="212">
        <f>5</f>
        <v>5</v>
      </c>
      <c r="H587" s="212">
        <f>60</f>
        <v>60</v>
      </c>
      <c r="I587" s="212">
        <f t="shared" si="53"/>
        <v>0.9</v>
      </c>
      <c r="J587" s="212">
        <f>1</f>
        <v>1</v>
      </c>
      <c r="K587" s="212">
        <f t="shared" si="54"/>
        <v>4.1870000000000003</v>
      </c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212"/>
      <c r="Y587" s="212"/>
      <c r="Z587" s="212"/>
      <c r="AA587" s="212"/>
      <c r="AB587" s="212"/>
      <c r="AC587" s="196"/>
      <c r="AD587" s="27"/>
      <c r="AE587" s="213"/>
      <c r="AF587" s="212">
        <f t="shared" si="55"/>
        <v>2.5297777157202717E-3</v>
      </c>
      <c r="AG587" s="212"/>
      <c r="AH587" s="212"/>
      <c r="AI587" s="212"/>
      <c r="AJ587" s="212"/>
      <c r="AK587" s="212"/>
      <c r="AL587" s="212"/>
      <c r="AM587" s="212"/>
      <c r="AN587" s="212"/>
      <c r="AO587" s="212"/>
      <c r="AP587" s="196"/>
      <c r="AQ587" s="196"/>
      <c r="AR587" s="211"/>
      <c r="AS587" s="212"/>
      <c r="AT587" s="212"/>
      <c r="AU587" s="212"/>
      <c r="AW587" s="58"/>
      <c r="AX587" s="58"/>
      <c r="AY587" s="58"/>
      <c r="AZ587" s="58"/>
    </row>
    <row r="588" spans="1:52" s="185" customFormat="1" ht="15" customHeight="1" x14ac:dyDescent="0.25">
      <c r="A588" s="200"/>
      <c r="B588" s="211"/>
      <c r="C588" s="212">
        <f t="shared" ref="C588:C611" si="56">C587+IntegrationStep</f>
        <v>57.70000000000055</v>
      </c>
      <c r="D588" s="231">
        <f>15+[2]!STEPLOAD(5)</f>
        <v>20</v>
      </c>
      <c r="E588" s="212">
        <f t="shared" si="51"/>
        <v>45.769079872216949</v>
      </c>
      <c r="F588" s="212">
        <f t="shared" si="52"/>
        <v>0.5</v>
      </c>
      <c r="G588" s="212">
        <f>5</f>
        <v>5</v>
      </c>
      <c r="H588" s="212">
        <f>60</f>
        <v>60</v>
      </c>
      <c r="I588" s="212">
        <f t="shared" si="53"/>
        <v>0.9</v>
      </c>
      <c r="J588" s="212">
        <f>1</f>
        <v>1</v>
      </c>
      <c r="K588" s="212">
        <f t="shared" si="54"/>
        <v>4.1870000000000003</v>
      </c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212"/>
      <c r="Y588" s="212"/>
      <c r="Z588" s="212"/>
      <c r="AA588" s="212"/>
      <c r="AB588" s="212"/>
      <c r="AC588" s="196"/>
      <c r="AD588" s="27"/>
      <c r="AE588" s="213"/>
      <c r="AF588" s="212">
        <f t="shared" si="55"/>
        <v>2.5044799385631755E-3</v>
      </c>
      <c r="AG588" s="212"/>
      <c r="AH588" s="212"/>
      <c r="AI588" s="212"/>
      <c r="AJ588" s="212"/>
      <c r="AK588" s="212"/>
      <c r="AL588" s="212"/>
      <c r="AM588" s="212"/>
      <c r="AN588" s="212"/>
      <c r="AO588" s="212"/>
      <c r="AP588" s="196"/>
      <c r="AQ588" s="196"/>
      <c r="AR588" s="211"/>
      <c r="AS588" s="212"/>
      <c r="AT588" s="212"/>
      <c r="AU588" s="212"/>
      <c r="AW588" s="58"/>
      <c r="AX588" s="58"/>
      <c r="AY588" s="58"/>
      <c r="AZ588" s="58"/>
    </row>
    <row r="589" spans="1:52" s="185" customFormat="1" ht="15" customHeight="1" x14ac:dyDescent="0.25">
      <c r="A589" s="200"/>
      <c r="B589" s="211"/>
      <c r="C589" s="212">
        <f t="shared" si="56"/>
        <v>57.800000000000551</v>
      </c>
      <c r="D589" s="231">
        <f>15+[2]!STEPLOAD(5)</f>
        <v>20</v>
      </c>
      <c r="E589" s="212">
        <f t="shared" ref="E589:E611" si="57">E588+(C589-C588)*AF588</f>
        <v>45.769330320210805</v>
      </c>
      <c r="F589" s="212">
        <f t="shared" ref="F589:F611" si="58">0.5</f>
        <v>0.5</v>
      </c>
      <c r="G589" s="212">
        <f>5</f>
        <v>5</v>
      </c>
      <c r="H589" s="212">
        <f>60</f>
        <v>60</v>
      </c>
      <c r="I589" s="212">
        <f t="shared" ref="I589:I611" si="59">0.9</f>
        <v>0.9</v>
      </c>
      <c r="J589" s="212">
        <f>1</f>
        <v>1</v>
      </c>
      <c r="K589" s="212">
        <f t="shared" ref="K589:K611" si="60">4.187</f>
        <v>4.1870000000000003</v>
      </c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2"/>
      <c r="Z589" s="212"/>
      <c r="AA589" s="212"/>
      <c r="AB589" s="212"/>
      <c r="AC589" s="196"/>
      <c r="AD589" s="27"/>
      <c r="AE589" s="213"/>
      <c r="AF589" s="212">
        <f t="shared" ref="AF589:AF611" si="61">F589/G589*(D589-E589)+H589*I589/G589/J589/K589</f>
        <v>2.4794351391772551E-3</v>
      </c>
      <c r="AG589" s="212"/>
      <c r="AH589" s="212"/>
      <c r="AI589" s="212"/>
      <c r="AJ589" s="212"/>
      <c r="AK589" s="212"/>
      <c r="AL589" s="212"/>
      <c r="AM589" s="212"/>
      <c r="AN589" s="212"/>
      <c r="AO589" s="212"/>
      <c r="AP589" s="196"/>
      <c r="AQ589" s="196"/>
      <c r="AR589" s="211"/>
      <c r="AS589" s="212"/>
      <c r="AT589" s="212"/>
      <c r="AU589" s="212"/>
      <c r="AW589" s="58"/>
      <c r="AX589" s="58"/>
      <c r="AY589" s="58"/>
      <c r="AZ589" s="58"/>
    </row>
    <row r="590" spans="1:52" s="185" customFormat="1" ht="15" customHeight="1" x14ac:dyDescent="0.25">
      <c r="A590" s="200"/>
      <c r="B590" s="211"/>
      <c r="C590" s="212">
        <f t="shared" si="56"/>
        <v>57.900000000000553</v>
      </c>
      <c r="D590" s="231">
        <f>15+[2]!STEPLOAD(5)</f>
        <v>20</v>
      </c>
      <c r="E590" s="212">
        <f t="shared" si="57"/>
        <v>45.769578263724725</v>
      </c>
      <c r="F590" s="212">
        <f t="shared" si="58"/>
        <v>0.5</v>
      </c>
      <c r="G590" s="212">
        <f>5</f>
        <v>5</v>
      </c>
      <c r="H590" s="212">
        <f>60</f>
        <v>60</v>
      </c>
      <c r="I590" s="212">
        <f t="shared" si="59"/>
        <v>0.9</v>
      </c>
      <c r="J590" s="212">
        <f>1</f>
        <v>1</v>
      </c>
      <c r="K590" s="212">
        <f t="shared" si="60"/>
        <v>4.1870000000000003</v>
      </c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212"/>
      <c r="Y590" s="212"/>
      <c r="Z590" s="212"/>
      <c r="AA590" s="212"/>
      <c r="AB590" s="212"/>
      <c r="AC590" s="196"/>
      <c r="AD590" s="27"/>
      <c r="AE590" s="213"/>
      <c r="AF590" s="212">
        <f t="shared" si="61"/>
        <v>2.4546407877852339E-3</v>
      </c>
      <c r="AG590" s="212"/>
      <c r="AH590" s="212"/>
      <c r="AI590" s="212"/>
      <c r="AJ590" s="212"/>
      <c r="AK590" s="212"/>
      <c r="AL590" s="212"/>
      <c r="AM590" s="212"/>
      <c r="AN590" s="212"/>
      <c r="AO590" s="212"/>
      <c r="AP590" s="196"/>
      <c r="AQ590" s="196"/>
      <c r="AR590" s="211"/>
      <c r="AS590" s="212"/>
      <c r="AT590" s="212"/>
      <c r="AU590" s="212"/>
      <c r="AW590" s="58"/>
      <c r="AX590" s="58"/>
      <c r="AY590" s="58"/>
      <c r="AZ590" s="58"/>
    </row>
    <row r="591" spans="1:52" s="185" customFormat="1" ht="15" customHeight="1" x14ac:dyDescent="0.25">
      <c r="A591" s="200"/>
      <c r="B591" s="211"/>
      <c r="C591" s="212">
        <f t="shared" si="56"/>
        <v>58.000000000000554</v>
      </c>
      <c r="D591" s="231">
        <f>15+[2]!STEPLOAD(5)</f>
        <v>20</v>
      </c>
      <c r="E591" s="212">
        <f t="shared" si="57"/>
        <v>45.769823727803505</v>
      </c>
      <c r="F591" s="212">
        <f t="shared" si="58"/>
        <v>0.5</v>
      </c>
      <c r="G591" s="212">
        <f>5</f>
        <v>5</v>
      </c>
      <c r="H591" s="212">
        <f>60</f>
        <v>60</v>
      </c>
      <c r="I591" s="212">
        <f t="shared" si="59"/>
        <v>0.9</v>
      </c>
      <c r="J591" s="212">
        <f>1</f>
        <v>1</v>
      </c>
      <c r="K591" s="212">
        <f t="shared" si="60"/>
        <v>4.1870000000000003</v>
      </c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196"/>
      <c r="AD591" s="27"/>
      <c r="AE591" s="213"/>
      <c r="AF591" s="212">
        <f t="shared" si="61"/>
        <v>2.4300943799073771E-3</v>
      </c>
      <c r="AG591" s="212"/>
      <c r="AH591" s="212"/>
      <c r="AI591" s="212"/>
      <c r="AJ591" s="212"/>
      <c r="AK591" s="212"/>
      <c r="AL591" s="212"/>
      <c r="AM591" s="212"/>
      <c r="AN591" s="212"/>
      <c r="AO591" s="212"/>
      <c r="AP591" s="196"/>
      <c r="AQ591" s="196"/>
      <c r="AR591" s="211"/>
      <c r="AS591" s="212"/>
      <c r="AT591" s="212"/>
      <c r="AU591" s="212"/>
      <c r="AW591" s="58"/>
      <c r="AX591" s="58"/>
      <c r="AY591" s="58"/>
      <c r="AZ591" s="58"/>
    </row>
    <row r="592" spans="1:52" s="185" customFormat="1" ht="15" customHeight="1" x14ac:dyDescent="0.25">
      <c r="A592" s="200"/>
      <c r="B592" s="211"/>
      <c r="C592" s="212">
        <f t="shared" si="56"/>
        <v>58.100000000000556</v>
      </c>
      <c r="D592" s="231">
        <f>15+[2]!STEPLOAD(5)</f>
        <v>20</v>
      </c>
      <c r="E592" s="212">
        <f t="shared" si="57"/>
        <v>45.770066737241493</v>
      </c>
      <c r="F592" s="212">
        <f t="shared" si="58"/>
        <v>0.5</v>
      </c>
      <c r="G592" s="212">
        <f>5</f>
        <v>5</v>
      </c>
      <c r="H592" s="212">
        <f>60</f>
        <v>60</v>
      </c>
      <c r="I592" s="212">
        <f t="shared" si="59"/>
        <v>0.9</v>
      </c>
      <c r="J592" s="212">
        <f>1</f>
        <v>1</v>
      </c>
      <c r="K592" s="212">
        <f t="shared" si="60"/>
        <v>4.1870000000000003</v>
      </c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212"/>
      <c r="Y592" s="212"/>
      <c r="Z592" s="212"/>
      <c r="AA592" s="212"/>
      <c r="AB592" s="212"/>
      <c r="AC592" s="196"/>
      <c r="AD592" s="27"/>
      <c r="AE592" s="213"/>
      <c r="AF592" s="212">
        <f t="shared" si="61"/>
        <v>2.4057934361088051E-3</v>
      </c>
      <c r="AG592" s="212"/>
      <c r="AH592" s="212"/>
      <c r="AI592" s="212"/>
      <c r="AJ592" s="212"/>
      <c r="AK592" s="212"/>
      <c r="AL592" s="212"/>
      <c r="AM592" s="212"/>
      <c r="AN592" s="212"/>
      <c r="AO592" s="212"/>
      <c r="AP592" s="196"/>
      <c r="AQ592" s="196"/>
      <c r="AR592" s="211"/>
      <c r="AS592" s="212"/>
      <c r="AT592" s="212"/>
      <c r="AU592" s="212"/>
      <c r="AW592" s="58"/>
      <c r="AX592" s="58"/>
      <c r="AY592" s="58"/>
      <c r="AZ592" s="58"/>
    </row>
    <row r="593" spans="1:52" s="185" customFormat="1" ht="15" customHeight="1" x14ac:dyDescent="0.25">
      <c r="A593" s="200"/>
      <c r="B593" s="211"/>
      <c r="C593" s="212">
        <f t="shared" si="56"/>
        <v>58.200000000000557</v>
      </c>
      <c r="D593" s="231">
        <f>15+[2]!STEPLOAD(5)</f>
        <v>20</v>
      </c>
      <c r="E593" s="212">
        <f t="shared" si="57"/>
        <v>45.770307316585104</v>
      </c>
      <c r="F593" s="212">
        <f t="shared" si="58"/>
        <v>0.5</v>
      </c>
      <c r="G593" s="212">
        <f>5</f>
        <v>5</v>
      </c>
      <c r="H593" s="212">
        <f>60</f>
        <v>60</v>
      </c>
      <c r="I593" s="212">
        <f t="shared" si="59"/>
        <v>0.9</v>
      </c>
      <c r="J593" s="212">
        <f>1</f>
        <v>1</v>
      </c>
      <c r="K593" s="212">
        <f t="shared" si="60"/>
        <v>4.1870000000000003</v>
      </c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196"/>
      <c r="AD593" s="27"/>
      <c r="AE593" s="213"/>
      <c r="AF593" s="212">
        <f t="shared" si="61"/>
        <v>2.3817355017476949E-3</v>
      </c>
      <c r="AG593" s="212"/>
      <c r="AH593" s="212"/>
      <c r="AI593" s="212"/>
      <c r="AJ593" s="212"/>
      <c r="AK593" s="212"/>
      <c r="AL593" s="212"/>
      <c r="AM593" s="212"/>
      <c r="AN593" s="212"/>
      <c r="AO593" s="212"/>
      <c r="AP593" s="196"/>
      <c r="AQ593" s="196"/>
      <c r="AR593" s="211"/>
      <c r="AS593" s="212"/>
      <c r="AT593" s="212"/>
      <c r="AU593" s="212"/>
      <c r="AW593" s="58"/>
      <c r="AX593" s="58"/>
      <c r="AY593" s="58"/>
      <c r="AZ593" s="58"/>
    </row>
    <row r="594" spans="1:52" s="185" customFormat="1" ht="15" customHeight="1" x14ac:dyDescent="0.25">
      <c r="A594" s="200"/>
      <c r="B594" s="211"/>
      <c r="C594" s="212">
        <f t="shared" si="56"/>
        <v>58.300000000000558</v>
      </c>
      <c r="D594" s="231">
        <f>15+[2]!STEPLOAD(5)</f>
        <v>20</v>
      </c>
      <c r="E594" s="212">
        <f t="shared" si="57"/>
        <v>45.770545490135277</v>
      </c>
      <c r="F594" s="212">
        <f t="shared" si="58"/>
        <v>0.5</v>
      </c>
      <c r="G594" s="212">
        <f>5</f>
        <v>5</v>
      </c>
      <c r="H594" s="212">
        <f>60</f>
        <v>60</v>
      </c>
      <c r="I594" s="212">
        <f t="shared" si="59"/>
        <v>0.9</v>
      </c>
      <c r="J594" s="212">
        <f>1</f>
        <v>1</v>
      </c>
      <c r="K594" s="212">
        <f t="shared" si="60"/>
        <v>4.1870000000000003</v>
      </c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212"/>
      <c r="Y594" s="212"/>
      <c r="Z594" s="212"/>
      <c r="AA594" s="212"/>
      <c r="AB594" s="212"/>
      <c r="AC594" s="196"/>
      <c r="AD594" s="27"/>
      <c r="AE594" s="213"/>
      <c r="AF594" s="212">
        <f t="shared" si="61"/>
        <v>2.3579181467301424E-3</v>
      </c>
      <c r="AG594" s="212"/>
      <c r="AH594" s="212"/>
      <c r="AI594" s="212"/>
      <c r="AJ594" s="212"/>
      <c r="AK594" s="212"/>
      <c r="AL594" s="212"/>
      <c r="AM594" s="212"/>
      <c r="AN594" s="212"/>
      <c r="AO594" s="212"/>
      <c r="AP594" s="196"/>
      <c r="AQ594" s="196"/>
      <c r="AR594" s="211"/>
      <c r="AS594" s="212"/>
      <c r="AT594" s="212"/>
      <c r="AU594" s="212"/>
      <c r="AW594" s="58"/>
      <c r="AX594" s="58"/>
      <c r="AY594" s="58"/>
      <c r="AZ594" s="58"/>
    </row>
    <row r="595" spans="1:52" s="185" customFormat="1" ht="15" customHeight="1" x14ac:dyDescent="0.25">
      <c r="A595" s="200"/>
      <c r="B595" s="211"/>
      <c r="C595" s="212">
        <f t="shared" si="56"/>
        <v>58.40000000000056</v>
      </c>
      <c r="D595" s="231">
        <f>15+[2]!STEPLOAD(5)</f>
        <v>20</v>
      </c>
      <c r="E595" s="212">
        <f t="shared" si="57"/>
        <v>45.770781281949951</v>
      </c>
      <c r="F595" s="212">
        <f t="shared" si="58"/>
        <v>0.5</v>
      </c>
      <c r="G595" s="212">
        <f>5</f>
        <v>5</v>
      </c>
      <c r="H595" s="212">
        <f>60</f>
        <v>60</v>
      </c>
      <c r="I595" s="212">
        <f t="shared" si="59"/>
        <v>0.9</v>
      </c>
      <c r="J595" s="212">
        <f>1</f>
        <v>1</v>
      </c>
      <c r="K595" s="212">
        <f t="shared" si="60"/>
        <v>4.1870000000000003</v>
      </c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212"/>
      <c r="Y595" s="212"/>
      <c r="Z595" s="212"/>
      <c r="AA595" s="212"/>
      <c r="AB595" s="212"/>
      <c r="AC595" s="196"/>
      <c r="AD595" s="27"/>
      <c r="AE595" s="213"/>
      <c r="AF595" s="212">
        <f t="shared" si="61"/>
        <v>2.3343389652628055E-3</v>
      </c>
      <c r="AG595" s="212"/>
      <c r="AH595" s="212"/>
      <c r="AI595" s="212"/>
      <c r="AJ595" s="212"/>
      <c r="AK595" s="212"/>
      <c r="AL595" s="212"/>
      <c r="AM595" s="212"/>
      <c r="AN595" s="212"/>
      <c r="AO595" s="212"/>
      <c r="AP595" s="196"/>
      <c r="AQ595" s="196"/>
      <c r="AR595" s="211"/>
      <c r="AS595" s="212"/>
      <c r="AT595" s="212"/>
      <c r="AU595" s="212"/>
      <c r="AW595" s="58"/>
      <c r="AX595" s="58"/>
      <c r="AY595" s="58"/>
      <c r="AZ595" s="58"/>
    </row>
    <row r="596" spans="1:52" s="185" customFormat="1" ht="15" customHeight="1" x14ac:dyDescent="0.25">
      <c r="A596" s="200"/>
      <c r="B596" s="211"/>
      <c r="C596" s="212">
        <f t="shared" si="56"/>
        <v>58.500000000000561</v>
      </c>
      <c r="D596" s="231">
        <f>15+[2]!STEPLOAD(5)</f>
        <v>20</v>
      </c>
      <c r="E596" s="212">
        <f t="shared" si="57"/>
        <v>45.771014715846476</v>
      </c>
      <c r="F596" s="212">
        <f t="shared" si="58"/>
        <v>0.5</v>
      </c>
      <c r="G596" s="212">
        <f>5</f>
        <v>5</v>
      </c>
      <c r="H596" s="212">
        <f>60</f>
        <v>60</v>
      </c>
      <c r="I596" s="212">
        <f t="shared" si="59"/>
        <v>0.9</v>
      </c>
      <c r="J596" s="212">
        <f>1</f>
        <v>1</v>
      </c>
      <c r="K596" s="212">
        <f t="shared" si="60"/>
        <v>4.1870000000000003</v>
      </c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  <c r="AA596" s="212"/>
      <c r="AB596" s="212"/>
      <c r="AC596" s="196"/>
      <c r="AD596" s="27"/>
      <c r="AE596" s="213"/>
      <c r="AF596" s="212">
        <f t="shared" si="61"/>
        <v>2.3109955756104306E-3</v>
      </c>
      <c r="AG596" s="212"/>
      <c r="AH596" s="212"/>
      <c r="AI596" s="212"/>
      <c r="AJ596" s="212"/>
      <c r="AK596" s="212"/>
      <c r="AL596" s="212"/>
      <c r="AM596" s="212"/>
      <c r="AN596" s="212"/>
      <c r="AO596" s="212"/>
      <c r="AP596" s="196"/>
      <c r="AQ596" s="196"/>
      <c r="AR596" s="211"/>
      <c r="AS596" s="212"/>
      <c r="AT596" s="212"/>
      <c r="AU596" s="212"/>
      <c r="AW596" s="58"/>
      <c r="AX596" s="58"/>
      <c r="AY596" s="58"/>
      <c r="AZ596" s="58"/>
    </row>
    <row r="597" spans="1:52" s="185" customFormat="1" ht="15" customHeight="1" x14ac:dyDescent="0.25">
      <c r="A597" s="200"/>
      <c r="B597" s="211"/>
      <c r="C597" s="212">
        <f t="shared" si="56"/>
        <v>58.600000000000563</v>
      </c>
      <c r="D597" s="231">
        <f>15+[2]!STEPLOAD(5)</f>
        <v>20</v>
      </c>
      <c r="E597" s="212">
        <f t="shared" si="57"/>
        <v>45.771245815404036</v>
      </c>
      <c r="F597" s="212">
        <f t="shared" si="58"/>
        <v>0.5</v>
      </c>
      <c r="G597" s="212">
        <f>5</f>
        <v>5</v>
      </c>
      <c r="H597" s="212">
        <f>60</f>
        <v>60</v>
      </c>
      <c r="I597" s="212">
        <f t="shared" si="59"/>
        <v>0.9</v>
      </c>
      <c r="J597" s="212">
        <f>1</f>
        <v>1</v>
      </c>
      <c r="K597" s="212">
        <f t="shared" si="60"/>
        <v>4.1870000000000003</v>
      </c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212"/>
      <c r="Y597" s="212"/>
      <c r="Z597" s="212"/>
      <c r="AA597" s="212"/>
      <c r="AB597" s="212"/>
      <c r="AC597" s="196"/>
      <c r="AD597" s="27"/>
      <c r="AE597" s="213"/>
      <c r="AF597" s="212">
        <f t="shared" si="61"/>
        <v>2.2878856198542685E-3</v>
      </c>
      <c r="AG597" s="212"/>
      <c r="AH597" s="212"/>
      <c r="AI597" s="212"/>
      <c r="AJ597" s="212"/>
      <c r="AK597" s="212"/>
      <c r="AL597" s="212"/>
      <c r="AM597" s="212"/>
      <c r="AN597" s="212"/>
      <c r="AO597" s="212"/>
      <c r="AP597" s="196"/>
      <c r="AQ597" s="196"/>
      <c r="AR597" s="211"/>
      <c r="AS597" s="212"/>
      <c r="AT597" s="212"/>
      <c r="AU597" s="212"/>
      <c r="AW597" s="58"/>
      <c r="AX597" s="58"/>
      <c r="AY597" s="58"/>
      <c r="AZ597" s="58"/>
    </row>
    <row r="598" spans="1:52" s="185" customFormat="1" ht="15" customHeight="1" x14ac:dyDescent="0.25">
      <c r="A598" s="200"/>
      <c r="B598" s="211"/>
      <c r="C598" s="212">
        <f t="shared" si="56"/>
        <v>58.700000000000564</v>
      </c>
      <c r="D598" s="231">
        <f>15+[2]!STEPLOAD(5)</f>
        <v>20</v>
      </c>
      <c r="E598" s="212">
        <f t="shared" si="57"/>
        <v>45.77147460396602</v>
      </c>
      <c r="F598" s="212">
        <f t="shared" si="58"/>
        <v>0.5</v>
      </c>
      <c r="G598" s="212">
        <f>5</f>
        <v>5</v>
      </c>
      <c r="H598" s="212">
        <f>60</f>
        <v>60</v>
      </c>
      <c r="I598" s="212">
        <f t="shared" si="59"/>
        <v>0.9</v>
      </c>
      <c r="J598" s="212">
        <f>1</f>
        <v>1</v>
      </c>
      <c r="K598" s="212">
        <f t="shared" si="60"/>
        <v>4.1870000000000003</v>
      </c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196"/>
      <c r="AD598" s="27"/>
      <c r="AE598" s="213"/>
      <c r="AF598" s="212">
        <f t="shared" si="61"/>
        <v>2.2650067636558191E-3</v>
      </c>
      <c r="AG598" s="212"/>
      <c r="AH598" s="212"/>
      <c r="AI598" s="212"/>
      <c r="AJ598" s="212"/>
      <c r="AK598" s="212"/>
      <c r="AL598" s="212"/>
      <c r="AM598" s="212"/>
      <c r="AN598" s="212"/>
      <c r="AO598" s="212"/>
      <c r="AP598" s="196"/>
      <c r="AQ598" s="196"/>
      <c r="AR598" s="211"/>
      <c r="AS598" s="212"/>
      <c r="AT598" s="212"/>
      <c r="AU598" s="212"/>
      <c r="AW598" s="58"/>
      <c r="AX598" s="58"/>
      <c r="AY598" s="58"/>
      <c r="AZ598" s="58"/>
    </row>
    <row r="599" spans="1:52" s="185" customFormat="1" ht="15" customHeight="1" x14ac:dyDescent="0.25">
      <c r="A599" s="200"/>
      <c r="B599" s="211"/>
      <c r="C599" s="212">
        <f t="shared" si="56"/>
        <v>58.800000000000566</v>
      </c>
      <c r="D599" s="231">
        <f>15+[2]!STEPLOAD(5)</f>
        <v>20</v>
      </c>
      <c r="E599" s="212">
        <f t="shared" si="57"/>
        <v>45.771701104642382</v>
      </c>
      <c r="F599" s="212">
        <f t="shared" si="58"/>
        <v>0.5</v>
      </c>
      <c r="G599" s="212">
        <f>5</f>
        <v>5</v>
      </c>
      <c r="H599" s="212">
        <f>60</f>
        <v>60</v>
      </c>
      <c r="I599" s="212">
        <f t="shared" si="59"/>
        <v>0.9</v>
      </c>
      <c r="J599" s="212">
        <f>1</f>
        <v>1</v>
      </c>
      <c r="K599" s="212">
        <f t="shared" si="60"/>
        <v>4.1870000000000003</v>
      </c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212"/>
      <c r="Y599" s="212"/>
      <c r="Z599" s="212"/>
      <c r="AA599" s="212"/>
      <c r="AB599" s="212"/>
      <c r="AC599" s="196"/>
      <c r="AD599" s="27"/>
      <c r="AE599" s="213"/>
      <c r="AF599" s="212">
        <f t="shared" si="61"/>
        <v>2.2423566960196872E-3</v>
      </c>
      <c r="AG599" s="212"/>
      <c r="AH599" s="212"/>
      <c r="AI599" s="212"/>
      <c r="AJ599" s="212"/>
      <c r="AK599" s="212"/>
      <c r="AL599" s="212"/>
      <c r="AM599" s="212"/>
      <c r="AN599" s="212"/>
      <c r="AO599" s="212"/>
      <c r="AP599" s="196"/>
      <c r="AQ599" s="196"/>
      <c r="AR599" s="211"/>
      <c r="AS599" s="212"/>
      <c r="AT599" s="212"/>
      <c r="AU599" s="212"/>
      <c r="AW599" s="58"/>
      <c r="AX599" s="58"/>
      <c r="AY599" s="58"/>
      <c r="AZ599" s="58"/>
    </row>
    <row r="600" spans="1:52" s="185" customFormat="1" ht="15" customHeight="1" x14ac:dyDescent="0.25">
      <c r="A600" s="200"/>
      <c r="B600" s="211"/>
      <c r="C600" s="212">
        <f t="shared" si="56"/>
        <v>58.900000000000567</v>
      </c>
      <c r="D600" s="231">
        <f>15+[2]!STEPLOAD(5)</f>
        <v>20</v>
      </c>
      <c r="E600" s="212">
        <f t="shared" si="57"/>
        <v>45.771925340311981</v>
      </c>
      <c r="F600" s="212">
        <f t="shared" si="58"/>
        <v>0.5</v>
      </c>
      <c r="G600" s="212">
        <f>5</f>
        <v>5</v>
      </c>
      <c r="H600" s="212">
        <f>60</f>
        <v>60</v>
      </c>
      <c r="I600" s="212">
        <f t="shared" si="59"/>
        <v>0.9</v>
      </c>
      <c r="J600" s="212">
        <f>1</f>
        <v>1</v>
      </c>
      <c r="K600" s="212">
        <f t="shared" si="60"/>
        <v>4.1870000000000003</v>
      </c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196"/>
      <c r="AD600" s="27"/>
      <c r="AE600" s="213"/>
      <c r="AF600" s="212">
        <f t="shared" si="61"/>
        <v>2.2199331290599922E-3</v>
      </c>
      <c r="AG600" s="212"/>
      <c r="AH600" s="212"/>
      <c r="AI600" s="212"/>
      <c r="AJ600" s="212"/>
      <c r="AK600" s="212"/>
      <c r="AL600" s="212"/>
      <c r="AM600" s="212"/>
      <c r="AN600" s="212"/>
      <c r="AO600" s="212"/>
      <c r="AP600" s="196"/>
      <c r="AQ600" s="196"/>
      <c r="AR600" s="211"/>
      <c r="AS600" s="212"/>
      <c r="AT600" s="212"/>
      <c r="AU600" s="212"/>
      <c r="AW600" s="58"/>
      <c r="AX600" s="58"/>
      <c r="AY600" s="58"/>
      <c r="AZ600" s="58"/>
    </row>
    <row r="601" spans="1:52" s="185" customFormat="1" ht="15" customHeight="1" x14ac:dyDescent="0.25">
      <c r="A601" s="200"/>
      <c r="B601" s="211"/>
      <c r="C601" s="212">
        <f t="shared" si="56"/>
        <v>59.000000000000568</v>
      </c>
      <c r="D601" s="231">
        <f>15+[2]!STEPLOAD(5)</f>
        <v>20</v>
      </c>
      <c r="E601" s="212">
        <f t="shared" si="57"/>
        <v>45.772147333624886</v>
      </c>
      <c r="F601" s="212">
        <f t="shared" si="58"/>
        <v>0.5</v>
      </c>
      <c r="G601" s="212">
        <f>5</f>
        <v>5</v>
      </c>
      <c r="H601" s="212">
        <f>60</f>
        <v>60</v>
      </c>
      <c r="I601" s="212">
        <f t="shared" si="59"/>
        <v>0.9</v>
      </c>
      <c r="J601" s="212">
        <f>1</f>
        <v>1</v>
      </c>
      <c r="K601" s="212">
        <f t="shared" si="60"/>
        <v>4.1870000000000003</v>
      </c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  <c r="AA601" s="212"/>
      <c r="AB601" s="212"/>
      <c r="AC601" s="196"/>
      <c r="AD601" s="27"/>
      <c r="AE601" s="213"/>
      <c r="AF601" s="212">
        <f t="shared" si="61"/>
        <v>2.1977337977694411E-3</v>
      </c>
      <c r="AG601" s="212"/>
      <c r="AH601" s="212"/>
      <c r="AI601" s="212"/>
      <c r="AJ601" s="212"/>
      <c r="AK601" s="212"/>
      <c r="AL601" s="212"/>
      <c r="AM601" s="212"/>
      <c r="AN601" s="212"/>
      <c r="AO601" s="212"/>
      <c r="AP601" s="196"/>
      <c r="AQ601" s="196"/>
      <c r="AR601" s="211"/>
      <c r="AS601" s="212"/>
      <c r="AT601" s="212"/>
      <c r="AU601" s="212"/>
      <c r="AW601" s="58"/>
      <c r="AX601" s="58"/>
      <c r="AY601" s="58"/>
      <c r="AZ601" s="58"/>
    </row>
    <row r="602" spans="1:52" s="185" customFormat="1" ht="15" customHeight="1" x14ac:dyDescent="0.25">
      <c r="A602" s="200"/>
      <c r="B602" s="211"/>
      <c r="C602" s="212">
        <f t="shared" si="56"/>
        <v>59.10000000000057</v>
      </c>
      <c r="D602" s="231">
        <f>15+[2]!STEPLOAD(5)</f>
        <v>20</v>
      </c>
      <c r="E602" s="212">
        <f t="shared" si="57"/>
        <v>45.772367107004662</v>
      </c>
      <c r="F602" s="212">
        <f t="shared" si="58"/>
        <v>0.5</v>
      </c>
      <c r="G602" s="212">
        <f>5</f>
        <v>5</v>
      </c>
      <c r="H602" s="212">
        <f>60</f>
        <v>60</v>
      </c>
      <c r="I602" s="212">
        <f t="shared" si="59"/>
        <v>0.9</v>
      </c>
      <c r="J602" s="212">
        <f>1</f>
        <v>1</v>
      </c>
      <c r="K602" s="212">
        <f t="shared" si="60"/>
        <v>4.1870000000000003</v>
      </c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196"/>
      <c r="AD602" s="27"/>
      <c r="AE602" s="213"/>
      <c r="AF602" s="212">
        <f t="shared" si="61"/>
        <v>2.1757564597915113E-3</v>
      </c>
      <c r="AG602" s="212"/>
      <c r="AH602" s="212"/>
      <c r="AI602" s="212"/>
      <c r="AJ602" s="212"/>
      <c r="AK602" s="212"/>
      <c r="AL602" s="212"/>
      <c r="AM602" s="212"/>
      <c r="AN602" s="212"/>
      <c r="AO602" s="212"/>
      <c r="AP602" s="196"/>
      <c r="AQ602" s="196"/>
      <c r="AR602" s="211"/>
      <c r="AS602" s="212"/>
      <c r="AT602" s="212"/>
      <c r="AU602" s="212"/>
      <c r="AW602" s="58"/>
      <c r="AX602" s="58"/>
      <c r="AY602" s="58"/>
      <c r="AZ602" s="58"/>
    </row>
    <row r="603" spans="1:52" s="185" customFormat="1" ht="15" customHeight="1" x14ac:dyDescent="0.25">
      <c r="A603" s="200"/>
      <c r="B603" s="211"/>
      <c r="C603" s="212">
        <f t="shared" si="56"/>
        <v>59.200000000000571</v>
      </c>
      <c r="D603" s="231">
        <f>15+[2]!STEPLOAD(5)</f>
        <v>20</v>
      </c>
      <c r="E603" s="212">
        <f t="shared" si="57"/>
        <v>45.772584682650638</v>
      </c>
      <c r="F603" s="212">
        <f t="shared" si="58"/>
        <v>0.5</v>
      </c>
      <c r="G603" s="212">
        <f>5</f>
        <v>5</v>
      </c>
      <c r="H603" s="212">
        <f>60</f>
        <v>60</v>
      </c>
      <c r="I603" s="212">
        <f t="shared" si="59"/>
        <v>0.9</v>
      </c>
      <c r="J603" s="212">
        <f>1</f>
        <v>1</v>
      </c>
      <c r="K603" s="212">
        <f t="shared" si="60"/>
        <v>4.1870000000000003</v>
      </c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212"/>
      <c r="Y603" s="212"/>
      <c r="Z603" s="212"/>
      <c r="AA603" s="212"/>
      <c r="AB603" s="212"/>
      <c r="AC603" s="196"/>
      <c r="AD603" s="27"/>
      <c r="AE603" s="213"/>
      <c r="AF603" s="212">
        <f t="shared" si="61"/>
        <v>2.1539988951939648E-3</v>
      </c>
      <c r="AG603" s="212"/>
      <c r="AH603" s="212"/>
      <c r="AI603" s="212"/>
      <c r="AJ603" s="212"/>
      <c r="AK603" s="212"/>
      <c r="AL603" s="212"/>
      <c r="AM603" s="212"/>
      <c r="AN603" s="212"/>
      <c r="AO603" s="212"/>
      <c r="AP603" s="196"/>
      <c r="AQ603" s="196"/>
      <c r="AR603" s="211"/>
      <c r="AS603" s="212"/>
      <c r="AT603" s="212"/>
      <c r="AU603" s="212"/>
      <c r="AW603" s="58"/>
      <c r="AX603" s="58"/>
      <c r="AY603" s="58"/>
      <c r="AZ603" s="58"/>
    </row>
    <row r="604" spans="1:52" s="185" customFormat="1" ht="15" customHeight="1" x14ac:dyDescent="0.25">
      <c r="A604" s="200"/>
      <c r="B604" s="211"/>
      <c r="C604" s="212">
        <f t="shared" si="56"/>
        <v>59.300000000000573</v>
      </c>
      <c r="D604" s="231">
        <f>15+[2]!STEPLOAD(5)</f>
        <v>20</v>
      </c>
      <c r="E604" s="212">
        <f t="shared" si="57"/>
        <v>45.772800082540158</v>
      </c>
      <c r="F604" s="212">
        <f t="shared" si="58"/>
        <v>0.5</v>
      </c>
      <c r="G604" s="212">
        <f>5</f>
        <v>5</v>
      </c>
      <c r="H604" s="212">
        <f>60</f>
        <v>60</v>
      </c>
      <c r="I604" s="212">
        <f t="shared" si="59"/>
        <v>0.9</v>
      </c>
      <c r="J604" s="212">
        <f>1</f>
        <v>1</v>
      </c>
      <c r="K604" s="212">
        <f t="shared" si="60"/>
        <v>4.1870000000000003</v>
      </c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196"/>
      <c r="AD604" s="27"/>
      <c r="AE604" s="213"/>
      <c r="AF604" s="212">
        <f t="shared" si="61"/>
        <v>2.1324589062419186E-3</v>
      </c>
      <c r="AG604" s="212"/>
      <c r="AH604" s="212"/>
      <c r="AI604" s="212"/>
      <c r="AJ604" s="212"/>
      <c r="AK604" s="212"/>
      <c r="AL604" s="212"/>
      <c r="AM604" s="212"/>
      <c r="AN604" s="212"/>
      <c r="AO604" s="212"/>
      <c r="AP604" s="196"/>
      <c r="AQ604" s="196"/>
      <c r="AR604" s="211"/>
      <c r="AS604" s="212"/>
      <c r="AT604" s="212"/>
      <c r="AU604" s="212"/>
      <c r="AW604" s="58"/>
      <c r="AX604" s="58"/>
      <c r="AY604" s="58"/>
      <c r="AZ604" s="58"/>
    </row>
    <row r="605" spans="1:52" s="185" customFormat="1" ht="15" customHeight="1" x14ac:dyDescent="0.25">
      <c r="A605" s="200"/>
      <c r="B605" s="211"/>
      <c r="C605" s="212">
        <f t="shared" si="56"/>
        <v>59.400000000000574</v>
      </c>
      <c r="D605" s="231">
        <f>15+[2]!STEPLOAD(5)</f>
        <v>20</v>
      </c>
      <c r="E605" s="212">
        <f t="shared" si="57"/>
        <v>45.773013328430785</v>
      </c>
      <c r="F605" s="212">
        <f t="shared" si="58"/>
        <v>0.5</v>
      </c>
      <c r="G605" s="212">
        <f>5</f>
        <v>5</v>
      </c>
      <c r="H605" s="212">
        <f>60</f>
        <v>60</v>
      </c>
      <c r="I605" s="212">
        <f t="shared" si="59"/>
        <v>0.9</v>
      </c>
      <c r="J605" s="212">
        <f>1</f>
        <v>1</v>
      </c>
      <c r="K605" s="212">
        <f t="shared" si="60"/>
        <v>4.1870000000000003</v>
      </c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212"/>
      <c r="Y605" s="212"/>
      <c r="Z605" s="212"/>
      <c r="AA605" s="212"/>
      <c r="AB605" s="212"/>
      <c r="AC605" s="196"/>
      <c r="AD605" s="27"/>
      <c r="AE605" s="213"/>
      <c r="AF605" s="212">
        <f t="shared" si="61"/>
        <v>2.1111343171793528E-3</v>
      </c>
      <c r="AG605" s="212"/>
      <c r="AH605" s="212"/>
      <c r="AI605" s="212"/>
      <c r="AJ605" s="212"/>
      <c r="AK605" s="212"/>
      <c r="AL605" s="212"/>
      <c r="AM605" s="212"/>
      <c r="AN605" s="212"/>
      <c r="AO605" s="212"/>
      <c r="AP605" s="196"/>
      <c r="AQ605" s="196"/>
      <c r="AR605" s="211"/>
      <c r="AS605" s="212"/>
      <c r="AT605" s="212"/>
      <c r="AU605" s="212"/>
      <c r="AW605" s="58"/>
      <c r="AX605" s="58"/>
      <c r="AY605" s="58"/>
      <c r="AZ605" s="58"/>
    </row>
    <row r="606" spans="1:52" s="185" customFormat="1" ht="15" customHeight="1" x14ac:dyDescent="0.25">
      <c r="A606" s="200"/>
      <c r="B606" s="211"/>
      <c r="C606" s="212">
        <f t="shared" si="56"/>
        <v>59.500000000000576</v>
      </c>
      <c r="D606" s="231">
        <f>15+[2]!STEPLOAD(5)</f>
        <v>20</v>
      </c>
      <c r="E606" s="212">
        <f t="shared" si="57"/>
        <v>45.773224441862503</v>
      </c>
      <c r="F606" s="212">
        <f t="shared" si="58"/>
        <v>0.5</v>
      </c>
      <c r="G606" s="212">
        <f>5</f>
        <v>5</v>
      </c>
      <c r="H606" s="212">
        <f>60</f>
        <v>60</v>
      </c>
      <c r="I606" s="212">
        <f t="shared" si="59"/>
        <v>0.9</v>
      </c>
      <c r="J606" s="212">
        <f>1</f>
        <v>1</v>
      </c>
      <c r="K606" s="212">
        <f t="shared" si="60"/>
        <v>4.1870000000000003</v>
      </c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212"/>
      <c r="Y606" s="212"/>
      <c r="Z606" s="212"/>
      <c r="AA606" s="212"/>
      <c r="AB606" s="212"/>
      <c r="AC606" s="196"/>
      <c r="AD606" s="27"/>
      <c r="AE606" s="213"/>
      <c r="AF606" s="212">
        <f t="shared" si="61"/>
        <v>2.0900229740075105E-3</v>
      </c>
      <c r="AG606" s="212"/>
      <c r="AH606" s="212"/>
      <c r="AI606" s="212"/>
      <c r="AJ606" s="212"/>
      <c r="AK606" s="212"/>
      <c r="AL606" s="212"/>
      <c r="AM606" s="212"/>
      <c r="AN606" s="212"/>
      <c r="AO606" s="212"/>
      <c r="AP606" s="196"/>
      <c r="AQ606" s="196"/>
      <c r="AR606" s="211"/>
      <c r="AS606" s="212"/>
      <c r="AT606" s="212"/>
      <c r="AU606" s="212"/>
      <c r="AW606" s="58"/>
      <c r="AX606" s="58"/>
      <c r="AY606" s="58"/>
      <c r="AZ606" s="58"/>
    </row>
    <row r="607" spans="1:52" s="185" customFormat="1" ht="15" customHeight="1" x14ac:dyDescent="0.25">
      <c r="A607" s="200"/>
      <c r="B607" s="211"/>
      <c r="C607" s="212">
        <f t="shared" si="56"/>
        <v>59.600000000000577</v>
      </c>
      <c r="D607" s="231">
        <f>15+[2]!STEPLOAD(5)</f>
        <v>20</v>
      </c>
      <c r="E607" s="212">
        <f t="shared" si="57"/>
        <v>45.773433444159906</v>
      </c>
      <c r="F607" s="212">
        <f t="shared" si="58"/>
        <v>0.5</v>
      </c>
      <c r="G607" s="212">
        <f>5</f>
        <v>5</v>
      </c>
      <c r="H607" s="212">
        <f>60</f>
        <v>60</v>
      </c>
      <c r="I607" s="212">
        <f t="shared" si="59"/>
        <v>0.9</v>
      </c>
      <c r="J607" s="212">
        <f>1</f>
        <v>1</v>
      </c>
      <c r="K607" s="212">
        <f t="shared" si="60"/>
        <v>4.1870000000000003</v>
      </c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212"/>
      <c r="Y607" s="212"/>
      <c r="Z607" s="212"/>
      <c r="AA607" s="212"/>
      <c r="AB607" s="212"/>
      <c r="AC607" s="196"/>
      <c r="AD607" s="27"/>
      <c r="AE607" s="213"/>
      <c r="AF607" s="212">
        <f t="shared" si="61"/>
        <v>2.0691227442672933E-3</v>
      </c>
      <c r="AG607" s="212"/>
      <c r="AH607" s="212"/>
      <c r="AI607" s="212"/>
      <c r="AJ607" s="212"/>
      <c r="AK607" s="212"/>
      <c r="AL607" s="212"/>
      <c r="AM607" s="212"/>
      <c r="AN607" s="212"/>
      <c r="AO607" s="212"/>
      <c r="AP607" s="196"/>
      <c r="AQ607" s="196"/>
      <c r="AR607" s="211"/>
      <c r="AS607" s="212"/>
      <c r="AT607" s="212"/>
      <c r="AU607" s="212"/>
      <c r="AW607" s="58"/>
      <c r="AX607" s="58"/>
      <c r="AY607" s="58"/>
      <c r="AZ607" s="58"/>
    </row>
    <row r="608" spans="1:52" s="185" customFormat="1" ht="15" customHeight="1" x14ac:dyDescent="0.25">
      <c r="A608" s="200"/>
      <c r="B608" s="211"/>
      <c r="C608" s="212">
        <f t="shared" si="56"/>
        <v>59.700000000000578</v>
      </c>
      <c r="D608" s="231">
        <f>15+[2]!STEPLOAD(5)</f>
        <v>20</v>
      </c>
      <c r="E608" s="212">
        <f t="shared" si="57"/>
        <v>45.773640356434335</v>
      </c>
      <c r="F608" s="212">
        <f t="shared" si="58"/>
        <v>0.5</v>
      </c>
      <c r="G608" s="212">
        <f>5</f>
        <v>5</v>
      </c>
      <c r="H608" s="212">
        <f>60</f>
        <v>60</v>
      </c>
      <c r="I608" s="212">
        <f t="shared" si="59"/>
        <v>0.9</v>
      </c>
      <c r="J608" s="212">
        <f>1</f>
        <v>1</v>
      </c>
      <c r="K608" s="212">
        <f t="shared" si="60"/>
        <v>4.1870000000000003</v>
      </c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212"/>
      <c r="Y608" s="212"/>
      <c r="Z608" s="212"/>
      <c r="AA608" s="212"/>
      <c r="AB608" s="212"/>
      <c r="AC608" s="196"/>
      <c r="AD608" s="27"/>
      <c r="AE608" s="213"/>
      <c r="AF608" s="212">
        <f t="shared" si="61"/>
        <v>2.0484315168243228E-3</v>
      </c>
      <c r="AG608" s="212"/>
      <c r="AH608" s="212"/>
      <c r="AI608" s="212"/>
      <c r="AJ608" s="212"/>
      <c r="AK608" s="212"/>
      <c r="AL608" s="212"/>
      <c r="AM608" s="212"/>
      <c r="AN608" s="212"/>
      <c r="AO608" s="212"/>
      <c r="AP608" s="196"/>
      <c r="AQ608" s="196"/>
      <c r="AR608" s="211"/>
      <c r="AS608" s="212"/>
      <c r="AT608" s="212"/>
      <c r="AU608" s="212"/>
      <c r="AW608" s="58"/>
      <c r="AX608" s="58"/>
      <c r="AY608" s="58"/>
      <c r="AZ608" s="58"/>
    </row>
    <row r="609" spans="1:52" s="185" customFormat="1" ht="15" customHeight="1" x14ac:dyDescent="0.25">
      <c r="A609" s="200"/>
      <c r="B609" s="211"/>
      <c r="C609" s="212">
        <f t="shared" si="56"/>
        <v>59.80000000000058</v>
      </c>
      <c r="D609" s="231">
        <f>15+[2]!STEPLOAD(5)</f>
        <v>20</v>
      </c>
      <c r="E609" s="212">
        <f t="shared" si="57"/>
        <v>45.77384519958602</v>
      </c>
      <c r="F609" s="212">
        <f t="shared" si="58"/>
        <v>0.5</v>
      </c>
      <c r="G609" s="212">
        <f>5</f>
        <v>5</v>
      </c>
      <c r="H609" s="212">
        <f>60</f>
        <v>60</v>
      </c>
      <c r="I609" s="212">
        <f t="shared" si="59"/>
        <v>0.9</v>
      </c>
      <c r="J609" s="212">
        <f>1</f>
        <v>1</v>
      </c>
      <c r="K609" s="212">
        <f t="shared" si="60"/>
        <v>4.1870000000000003</v>
      </c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212"/>
      <c r="Y609" s="212"/>
      <c r="Z609" s="212"/>
      <c r="AA609" s="212"/>
      <c r="AB609" s="212"/>
      <c r="AC609" s="196"/>
      <c r="AD609" s="27"/>
      <c r="AE609" s="213"/>
      <c r="AF609" s="212">
        <f t="shared" si="61"/>
        <v>2.0279472016557776E-3</v>
      </c>
      <c r="AG609" s="212"/>
      <c r="AH609" s="212"/>
      <c r="AI609" s="212"/>
      <c r="AJ609" s="212"/>
      <c r="AK609" s="212"/>
      <c r="AL609" s="212"/>
      <c r="AM609" s="212"/>
      <c r="AN609" s="212"/>
      <c r="AO609" s="212"/>
      <c r="AP609" s="196"/>
      <c r="AQ609" s="196"/>
      <c r="AR609" s="211"/>
      <c r="AS609" s="212"/>
      <c r="AT609" s="212"/>
      <c r="AU609" s="212"/>
      <c r="AW609" s="58"/>
      <c r="AX609" s="58"/>
      <c r="AY609" s="58"/>
      <c r="AZ609" s="58"/>
    </row>
    <row r="610" spans="1:52" s="185" customFormat="1" ht="15" customHeight="1" x14ac:dyDescent="0.25">
      <c r="A610" s="200"/>
      <c r="B610" s="211"/>
      <c r="C610" s="212">
        <f t="shared" si="56"/>
        <v>59.900000000000581</v>
      </c>
      <c r="D610" s="231">
        <f>15+[2]!STEPLOAD(5)</f>
        <v>20</v>
      </c>
      <c r="E610" s="212">
        <f t="shared" si="57"/>
        <v>45.774047994306187</v>
      </c>
      <c r="F610" s="212">
        <f t="shared" si="58"/>
        <v>0.5</v>
      </c>
      <c r="G610" s="212">
        <f>5</f>
        <v>5</v>
      </c>
      <c r="H610" s="212">
        <f>60</f>
        <v>60</v>
      </c>
      <c r="I610" s="212">
        <f t="shared" si="59"/>
        <v>0.9</v>
      </c>
      <c r="J610" s="212">
        <f>1</f>
        <v>1</v>
      </c>
      <c r="K610" s="212">
        <f t="shared" si="60"/>
        <v>4.1870000000000003</v>
      </c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212"/>
      <c r="Y610" s="212"/>
      <c r="Z610" s="212"/>
      <c r="AA610" s="212"/>
      <c r="AB610" s="212"/>
      <c r="AC610" s="196"/>
      <c r="AD610" s="27"/>
      <c r="AE610" s="213"/>
      <c r="AF610" s="212">
        <f t="shared" si="61"/>
        <v>2.0076677296390066E-3</v>
      </c>
      <c r="AG610" s="212"/>
      <c r="AH610" s="212"/>
      <c r="AI610" s="212"/>
      <c r="AJ610" s="212"/>
      <c r="AK610" s="212"/>
      <c r="AL610" s="212"/>
      <c r="AM610" s="212"/>
      <c r="AN610" s="212"/>
      <c r="AO610" s="212"/>
      <c r="AP610" s="196"/>
      <c r="AQ610" s="196"/>
      <c r="AR610" s="211"/>
      <c r="AS610" s="212"/>
      <c r="AT610" s="212"/>
      <c r="AU610" s="212"/>
      <c r="AW610" s="58"/>
      <c r="AX610" s="58"/>
      <c r="AY610" s="58"/>
      <c r="AZ610" s="58"/>
    </row>
    <row r="611" spans="1:52" s="185" customFormat="1" ht="15" customHeight="1" thickBot="1" x14ac:dyDescent="0.3">
      <c r="A611" s="194"/>
      <c r="B611" s="201" t="s">
        <v>67</v>
      </c>
      <c r="C611" s="214">
        <f t="shared" si="56"/>
        <v>60.000000000000583</v>
      </c>
      <c r="D611" s="232">
        <f>15</f>
        <v>15</v>
      </c>
      <c r="E611" s="232">
        <f t="shared" si="57"/>
        <v>45.77424876107915</v>
      </c>
      <c r="F611" s="232">
        <f t="shared" si="58"/>
        <v>0.5</v>
      </c>
      <c r="G611" s="232">
        <f>5</f>
        <v>5</v>
      </c>
      <c r="H611" s="232">
        <f>60</f>
        <v>60</v>
      </c>
      <c r="I611" s="232">
        <f t="shared" si="59"/>
        <v>0.9</v>
      </c>
      <c r="J611" s="232">
        <f>1</f>
        <v>1</v>
      </c>
      <c r="K611" s="232">
        <f t="shared" si="60"/>
        <v>4.1870000000000003</v>
      </c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196"/>
      <c r="AD611" s="27"/>
      <c r="AE611" s="233"/>
      <c r="AF611" s="232">
        <f t="shared" si="61"/>
        <v>-0.49801240894765719</v>
      </c>
      <c r="AG611" s="232"/>
      <c r="AH611" s="232"/>
      <c r="AI611" s="232"/>
      <c r="AJ611" s="232"/>
      <c r="AK611" s="232"/>
      <c r="AL611" s="232"/>
      <c r="AM611" s="232"/>
      <c r="AN611" s="232"/>
      <c r="AO611" s="232"/>
      <c r="AP611" s="196"/>
      <c r="AQ611" s="196"/>
      <c r="AR611" s="234"/>
      <c r="AS611" s="232"/>
      <c r="AT611" s="232"/>
      <c r="AU611" s="232"/>
      <c r="AW611" s="58"/>
      <c r="AX611" s="58"/>
      <c r="AY611" s="58"/>
      <c r="AZ611" s="58"/>
    </row>
    <row r="612" spans="1:52" ht="15" customHeight="1" x14ac:dyDescent="0.25">
      <c r="AW612" s="174"/>
      <c r="AX612" s="174"/>
      <c r="AY612" s="174"/>
      <c r="AZ612" s="174"/>
    </row>
    <row r="613" spans="1:52" ht="13.5" customHeight="1" x14ac:dyDescent="0.25">
      <c r="AW613" s="174"/>
      <c r="AX613" s="174"/>
      <c r="AY613" s="174"/>
      <c r="AZ613" s="174"/>
    </row>
    <row r="614" spans="1:52" ht="13.5" customHeight="1" x14ac:dyDescent="0.25">
      <c r="AW614" s="174"/>
      <c r="AX614" s="174"/>
      <c r="AY614" s="174"/>
      <c r="AZ614" s="174"/>
    </row>
    <row r="615" spans="1:52" ht="13.5" customHeight="1" x14ac:dyDescent="0.25">
      <c r="AW615" s="174"/>
      <c r="AX615" s="174"/>
      <c r="AY615" s="174"/>
      <c r="AZ615" s="174"/>
    </row>
    <row r="616" spans="1:52" ht="13.5" customHeight="1" x14ac:dyDescent="0.25">
      <c r="AW616" s="174"/>
      <c r="AX616" s="174"/>
      <c r="AY616" s="174"/>
      <c r="AZ616" s="174"/>
    </row>
    <row r="617" spans="1:52" ht="13.5" customHeight="1" x14ac:dyDescent="0.25">
      <c r="AW617" s="174"/>
      <c r="AX617" s="174"/>
      <c r="AY617" s="174"/>
      <c r="AZ617" s="174"/>
    </row>
    <row r="618" spans="1:52" ht="13.5" customHeight="1" x14ac:dyDescent="0.25">
      <c r="AW618" s="174"/>
      <c r="AX618" s="174"/>
      <c r="AY618" s="174"/>
      <c r="AZ618" s="174"/>
    </row>
    <row r="619" spans="1:52" ht="13.5" customHeight="1" x14ac:dyDescent="0.25">
      <c r="AW619" s="174"/>
      <c r="AX619" s="174"/>
      <c r="AY619" s="174"/>
      <c r="AZ619" s="174"/>
    </row>
    <row r="620" spans="1:52" ht="13.5" customHeight="1" x14ac:dyDescent="0.25">
      <c r="AW620" s="174"/>
      <c r="AX620" s="174"/>
      <c r="AY620" s="174"/>
      <c r="AZ620" s="174"/>
    </row>
    <row r="621" spans="1:52" ht="13.5" customHeight="1" x14ac:dyDescent="0.25">
      <c r="AW621" s="174"/>
      <c r="AX621" s="174"/>
      <c r="AY621" s="174"/>
      <c r="AZ621" s="174"/>
    </row>
    <row r="622" spans="1:52" ht="13.5" customHeight="1" x14ac:dyDescent="0.25">
      <c r="AW622" s="174"/>
      <c r="AX622" s="174"/>
      <c r="AY622" s="174"/>
      <c r="AZ622" s="174"/>
    </row>
    <row r="623" spans="1:52" ht="13.5" customHeight="1" x14ac:dyDescent="0.25">
      <c r="AW623" s="174"/>
      <c r="AX623" s="174"/>
      <c r="AY623" s="174"/>
      <c r="AZ623" s="174"/>
    </row>
    <row r="624" spans="1:52" ht="13.5" customHeight="1" x14ac:dyDescent="0.25">
      <c r="AW624" s="174"/>
      <c r="AX624" s="174"/>
      <c r="AY624" s="174"/>
      <c r="AZ624" s="174"/>
    </row>
    <row r="625" spans="49:52" ht="13.5" customHeight="1" x14ac:dyDescent="0.25">
      <c r="AW625" s="174"/>
      <c r="AX625" s="174"/>
      <c r="AY625" s="174"/>
      <c r="AZ625" s="174"/>
    </row>
    <row r="626" spans="49:52" ht="13.5" customHeight="1" x14ac:dyDescent="0.25">
      <c r="AW626" s="174"/>
      <c r="AX626" s="174"/>
      <c r="AY626" s="174"/>
      <c r="AZ626" s="174"/>
    </row>
    <row r="627" spans="49:52" ht="13.5" customHeight="1" x14ac:dyDescent="0.25">
      <c r="AW627" s="174"/>
      <c r="AX627" s="174"/>
      <c r="AY627" s="174"/>
      <c r="AZ627" s="174"/>
    </row>
    <row r="628" spans="49:52" ht="13.5" customHeight="1" x14ac:dyDescent="0.25">
      <c r="AW628" s="174"/>
      <c r="AX628" s="174"/>
      <c r="AY628" s="174"/>
      <c r="AZ628" s="174"/>
    </row>
    <row r="629" spans="49:52" ht="13.5" customHeight="1" x14ac:dyDescent="0.25">
      <c r="AW629" s="174"/>
      <c r="AX629" s="174"/>
      <c r="AY629" s="174"/>
      <c r="AZ629" s="174"/>
    </row>
    <row r="630" spans="49:52" ht="13.5" customHeight="1" x14ac:dyDescent="0.25">
      <c r="AW630" s="230"/>
      <c r="AX630" s="230"/>
      <c r="AY630" s="230"/>
      <c r="AZ630" s="230"/>
    </row>
    <row r="631" spans="49:52" ht="13.5" customHeight="1" x14ac:dyDescent="0.25">
      <c r="AW631" s="230"/>
      <c r="AX631" s="230"/>
      <c r="AY631" s="230"/>
      <c r="AZ631" s="230"/>
    </row>
    <row r="632" spans="49:52" ht="13.5" customHeight="1" x14ac:dyDescent="0.25">
      <c r="AW632" s="230"/>
      <c r="AX632" s="230"/>
      <c r="AY632" s="230"/>
      <c r="AZ632" s="230"/>
    </row>
    <row r="633" spans="49:52" x14ac:dyDescent="0.25">
      <c r="AW633" s="230"/>
      <c r="AX633" s="230"/>
      <c r="AY633" s="230"/>
      <c r="AZ633" s="230"/>
    </row>
  </sheetData>
  <sheetProtection algorithmName="SHA-512" hashValue="ZigqDWEWJW2E4ur/b3shI4EaRzc15cXYZDTmXP54bD2SlSHQ0MPiq72LP12coann1S632KxNFI1ap5H6LZx9QQ==" saltValue="F69KxY4KXBJ5oeZVXYp10g==" spinCount="100000" sheet="1" objects="1" scenarios="1" selectLockedCells="1"/>
  <mergeCells count="3">
    <mergeCell ref="A1:XFD1"/>
    <mergeCell ref="AX13:AX14"/>
    <mergeCell ref="AX23:AX24"/>
  </mergeCells>
  <conditionalFormatting sqref="AF10:AO10">
    <cfRule type="expression" dxfId="32" priority="1">
      <formula>ISBLANK(AF$9)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SICDATA1">
    <tabColor rgb="FF99FFCC"/>
  </sheetPr>
  <dimension ref="A1:AH1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2.7109375" style="173" customWidth="1"/>
    <col min="2" max="8" width="12.7109375" style="173" customWidth="1"/>
    <col min="9" max="9" width="4.7109375" style="173" customWidth="1"/>
    <col min="10" max="10" width="2.7109375" style="173" customWidth="1"/>
    <col min="11" max="13" width="12.7109375" style="173" customWidth="1"/>
    <col min="14" max="14" width="4.7109375" style="173" customWidth="1"/>
    <col min="15" max="15" width="2.7109375" style="173" customWidth="1"/>
    <col min="16" max="17" width="12.7109375" style="173" customWidth="1"/>
    <col min="18" max="21" width="6.7109375" style="173" customWidth="1"/>
    <col min="22" max="24" width="2.7109375" style="173" customWidth="1"/>
    <col min="25" max="27" width="12.7109375" style="173" customWidth="1"/>
    <col min="28" max="28" width="4.7109375" style="173" customWidth="1"/>
    <col min="29" max="29" width="12.7109375" style="173" customWidth="1"/>
    <col min="30" max="30" width="2.7109375" style="58" hidden="1" customWidth="1"/>
    <col min="31" max="32" width="20.7109375" style="58" hidden="1" customWidth="1"/>
    <col min="33" max="33" width="12.7109375" style="58" hidden="1" customWidth="1"/>
    <col min="34" max="34" width="9.140625" style="173" customWidth="1"/>
    <col min="35" max="16384" width="9.140625" style="173"/>
  </cols>
  <sheetData>
    <row r="1" spans="1:34" s="241" customFormat="1" ht="20.100000000000001" customHeight="1" x14ac:dyDescent="0.25"/>
    <row r="2" spans="1:34" s="2" customFormat="1" ht="12.75" customHeight="1" x14ac:dyDescent="0.25">
      <c r="A2" s="1" t="s">
        <v>61</v>
      </c>
      <c r="D2" s="3"/>
      <c r="AD2" s="4"/>
      <c r="AE2" s="4"/>
      <c r="AF2" s="4"/>
      <c r="AG2" s="4"/>
    </row>
    <row r="3" spans="1:34" s="2" customFormat="1" ht="12.75" customHeight="1" x14ac:dyDescent="0.25">
      <c r="A3" s="5" t="s">
        <v>109</v>
      </c>
      <c r="D3" s="3"/>
      <c r="AD3" s="4"/>
      <c r="AE3" s="4"/>
      <c r="AF3" s="4"/>
      <c r="AG3" s="4"/>
    </row>
    <row r="4" spans="1:34" s="2" customFormat="1" ht="12.75" customHeight="1" x14ac:dyDescent="0.25">
      <c r="A4" s="6"/>
      <c r="D4" s="3"/>
      <c r="P4" s="7"/>
      <c r="Q4" s="8"/>
      <c r="AD4" s="4"/>
      <c r="AE4" s="4"/>
      <c r="AF4" s="4"/>
      <c r="AG4" s="4"/>
    </row>
    <row r="5" spans="1:34" s="8" customFormat="1" ht="15" customHeight="1" x14ac:dyDescent="0.25">
      <c r="A5" s="9" t="s">
        <v>59</v>
      </c>
      <c r="B5" s="10"/>
      <c r="R5" s="2"/>
      <c r="S5" s="2"/>
      <c r="T5" s="2"/>
      <c r="U5" s="2"/>
      <c r="AD5" s="4"/>
      <c r="AE5" s="4"/>
      <c r="AF5" s="4"/>
      <c r="AG5" s="4"/>
    </row>
    <row r="6" spans="1:34" s="2" customFormat="1" ht="15" customHeight="1" x14ac:dyDescent="0.25">
      <c r="A6" s="11" t="s">
        <v>77</v>
      </c>
      <c r="B6" s="12"/>
      <c r="AD6" s="4"/>
      <c r="AE6" s="4"/>
      <c r="AF6" s="4"/>
      <c r="AG6" s="4"/>
    </row>
    <row r="7" spans="1:34" s="16" customFormat="1" ht="15" customHeight="1" x14ac:dyDescent="0.3">
      <c r="A7" s="13" t="s">
        <v>0</v>
      </c>
      <c r="B7" s="14"/>
      <c r="C7" s="15"/>
      <c r="D7" s="15"/>
      <c r="E7" s="15"/>
      <c r="F7" s="12"/>
      <c r="G7" s="12"/>
      <c r="H7" s="15"/>
      <c r="J7" s="13" t="s">
        <v>1</v>
      </c>
      <c r="K7" s="14"/>
      <c r="L7" s="15"/>
      <c r="M7" s="15"/>
      <c r="O7" s="13" t="s">
        <v>2</v>
      </c>
      <c r="P7" s="17"/>
      <c r="Q7" s="10"/>
      <c r="R7" s="18"/>
      <c r="S7" s="10"/>
      <c r="T7" s="10"/>
      <c r="U7" s="10"/>
      <c r="V7" s="19"/>
      <c r="W7" s="19"/>
      <c r="X7" s="20" t="s">
        <v>3</v>
      </c>
      <c r="AD7" s="21" t="s">
        <v>4</v>
      </c>
      <c r="AE7" s="22"/>
      <c r="AF7" s="23"/>
      <c r="AG7" s="24"/>
    </row>
    <row r="8" spans="1:34" s="2" customFormat="1" ht="15" customHeight="1" thickBot="1" x14ac:dyDescent="0.3">
      <c r="A8" s="25" t="s">
        <v>5</v>
      </c>
      <c r="B8" s="12"/>
      <c r="C8" s="10"/>
      <c r="D8" s="10"/>
      <c r="E8" s="10"/>
      <c r="F8" s="12"/>
      <c r="G8" s="12"/>
      <c r="H8" s="26"/>
      <c r="J8" s="25" t="s">
        <v>6</v>
      </c>
      <c r="K8" s="12"/>
      <c r="L8" s="10"/>
      <c r="M8" s="12"/>
      <c r="O8" s="25" t="s">
        <v>7</v>
      </c>
      <c r="P8" s="27"/>
      <c r="Q8" s="25"/>
      <c r="R8" s="19"/>
      <c r="S8" s="19"/>
      <c r="T8" s="19"/>
      <c r="U8" s="19"/>
      <c r="V8" s="19"/>
      <c r="W8" s="19"/>
      <c r="X8" s="25" t="s">
        <v>8</v>
      </c>
      <c r="Y8" s="27"/>
      <c r="Z8" s="10"/>
      <c r="AA8" s="12"/>
      <c r="AD8" s="28" t="str">
        <f>O8</f>
        <v>Integration Parameters</v>
      </c>
      <c r="AE8" s="28"/>
      <c r="AF8" s="29"/>
      <c r="AG8" s="30"/>
    </row>
    <row r="9" spans="1:34" s="2" customFormat="1" ht="15" customHeight="1" thickBot="1" x14ac:dyDescent="0.3">
      <c r="A9" s="31"/>
      <c r="B9" s="238" t="s">
        <v>9</v>
      </c>
      <c r="C9" s="32" t="s">
        <v>10</v>
      </c>
      <c r="D9" s="238" t="s">
        <v>11</v>
      </c>
      <c r="E9" s="238"/>
      <c r="F9" s="242" t="s">
        <v>12</v>
      </c>
      <c r="G9" s="242"/>
      <c r="H9" s="242"/>
      <c r="I9" s="33" t="str">
        <f>K15</f>
        <v>Set Point</v>
      </c>
      <c r="J9" s="34">
        <f>IF(ISNA(VLOOKUP(MeasuredVariable,ModelVariablesNames,1,FALSE)),0,1)</f>
        <v>1</v>
      </c>
      <c r="K9" s="243" t="s">
        <v>13</v>
      </c>
      <c r="L9" s="243"/>
      <c r="M9" s="35" t="s">
        <v>85</v>
      </c>
      <c r="N9" s="36"/>
      <c r="O9" s="37">
        <f>AND(NOT(TimeUnit=""),ISERR(FIND("|",TimeUnit)))+0</f>
        <v>1</v>
      </c>
      <c r="P9" s="243" t="s">
        <v>14</v>
      </c>
      <c r="Q9" s="243"/>
      <c r="R9" s="244" t="str">
        <f>IFERROR([1]!TIMEUNITS(ModelVariablesUnits),"")</f>
        <v>min</v>
      </c>
      <c r="S9" s="244"/>
      <c r="T9"/>
      <c r="U9"/>
      <c r="V9" s="36"/>
      <c r="W9" s="36"/>
      <c r="X9" s="37">
        <f>COUNTA(GraphLocation)</f>
        <v>1</v>
      </c>
      <c r="Y9" s="38" t="s">
        <v>15</v>
      </c>
      <c r="Z9" s="245" t="s">
        <v>106</v>
      </c>
      <c r="AA9" s="245"/>
      <c r="AD9" s="39"/>
      <c r="AE9" s="40" t="s">
        <v>16</v>
      </c>
      <c r="AF9" s="41"/>
      <c r="AG9" s="42">
        <f>IF(OR(NumSimulationValues=-1,ISERROR(FinalTime/MaxNumSimulatedValues)),-1,FinalTime/MaxNumSimulatedValues)</f>
        <v>0.01</v>
      </c>
      <c r="AH9" s="43"/>
    </row>
    <row r="10" spans="1:34" s="2" customFormat="1" ht="15" customHeight="1" thickBot="1" x14ac:dyDescent="0.3">
      <c r="A10" s="44">
        <f>COUNTA(B10:C10)</f>
        <v>2</v>
      </c>
      <c r="B10" s="45" t="s">
        <v>84</v>
      </c>
      <c r="C10" s="46">
        <v>15</v>
      </c>
      <c r="D10" s="246" t="s">
        <v>92</v>
      </c>
      <c r="E10" s="246"/>
      <c r="F10" s="246" t="s">
        <v>98</v>
      </c>
      <c r="G10" s="246"/>
      <c r="H10" s="246"/>
      <c r="I10" s="47" t="str">
        <f t="array" ref="I1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1)),IF(ISBLANK(ModelVariablesNames),"",IF(ISNUMBER(ModelVariablesNames),COUNTIF(ModelVariablesNames,"&lt;"&amp;ModelVariablesNames),COUNTIF(ModelVariablesNames,"&lt;"&amp;ModelVariablesNames)+SUM(IF(ISNUMBER(ModelVariablesNames),1,0))+1)),0)),)</f>
        <v>cp</v>
      </c>
      <c r="J10" s="37">
        <f>COUNTA(MeasuredVariableLower)</f>
        <v>1</v>
      </c>
      <c r="K10" s="247" t="s">
        <v>17</v>
      </c>
      <c r="L10" s="237" t="s">
        <v>18</v>
      </c>
      <c r="M10" s="48">
        <v>0</v>
      </c>
      <c r="N10" s="36"/>
      <c r="O10" s="49">
        <f>COUNTA(FinalTime)</f>
        <v>1</v>
      </c>
      <c r="P10" s="249" t="s">
        <v>19</v>
      </c>
      <c r="Q10" s="249"/>
      <c r="R10" s="250">
        <v>60</v>
      </c>
      <c r="S10" s="250"/>
      <c r="T10"/>
      <c r="U10"/>
      <c r="V10" s="36"/>
      <c r="W10" s="36"/>
      <c r="X10" s="50"/>
      <c r="AD10" s="39"/>
      <c r="AE10" s="51" t="s">
        <v>20</v>
      </c>
      <c r="AF10" s="52"/>
      <c r="AG10" s="53">
        <f>IF(OR(IntegrationStep=0,FinalTime=0),-1,TRUNC(FinalTime/IntegrationStep,0))</f>
        <v>600</v>
      </c>
      <c r="AH10" s="43"/>
    </row>
    <row r="11" spans="1:34" s="2" customFormat="1" ht="15" customHeight="1" thickBot="1" x14ac:dyDescent="0.3">
      <c r="A11" s="44">
        <f t="shared" ref="A11:A34" si="0">COUNTA(B11:C11)</f>
        <v>2</v>
      </c>
      <c r="B11" s="45" t="s">
        <v>85</v>
      </c>
      <c r="C11" s="54">
        <f>C10+C14*C15/C12/C16/C17</f>
        <v>40.794124671602574</v>
      </c>
      <c r="D11" s="251" t="s">
        <v>92</v>
      </c>
      <c r="E11" s="251"/>
      <c r="F11" s="251" t="s">
        <v>105</v>
      </c>
      <c r="G11" s="251"/>
      <c r="H11" s="251"/>
      <c r="I11" s="47" t="str">
        <f t="array" ref="I1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2)),IF(ISBLANK(ModelVariablesNames),"",IF(ISNUMBER(ModelVariablesNames),COUNTIF(ModelVariablesNames,"&lt;"&amp;ModelVariablesNames),COUNTIF(ModelVariablesNames,"&lt;"&amp;ModelVariablesNames)+SUM(IF(ISNUMBER(ModelVariablesNames),1,0))+1)),0)),)</f>
        <v>eta</v>
      </c>
      <c r="J11" s="37">
        <f>COUNTA(MeasuredVariableHigher)</f>
        <v>1</v>
      </c>
      <c r="K11" s="248"/>
      <c r="L11" s="55" t="s">
        <v>21</v>
      </c>
      <c r="M11" s="56">
        <v>100</v>
      </c>
      <c r="N11" s="36"/>
      <c r="O11" s="49">
        <f>COUNTA(IntegrationStep)</f>
        <v>1</v>
      </c>
      <c r="P11" s="249" t="s">
        <v>22</v>
      </c>
      <c r="Q11" s="249"/>
      <c r="R11" s="252">
        <v>0.1</v>
      </c>
      <c r="S11" s="252"/>
      <c r="T11"/>
      <c r="U11"/>
      <c r="V11" s="36"/>
      <c r="W11" s="36"/>
      <c r="X11" s="27" t="s">
        <v>23</v>
      </c>
      <c r="AA11" s="12"/>
      <c r="AD11" s="39"/>
      <c r="AE11" s="57"/>
      <c r="AF11" s="58"/>
      <c r="AG11" s="59"/>
      <c r="AH11" s="60"/>
    </row>
    <row r="12" spans="1:34" s="2" customFormat="1" ht="15" customHeight="1" thickBot="1" x14ac:dyDescent="0.3">
      <c r="A12" s="44">
        <f t="shared" si="0"/>
        <v>2</v>
      </c>
      <c r="B12" s="45" t="s">
        <v>86</v>
      </c>
      <c r="C12" s="54">
        <v>0.5</v>
      </c>
      <c r="D12" s="251" t="s">
        <v>93</v>
      </c>
      <c r="E12" s="251"/>
      <c r="F12" s="251" t="s">
        <v>99</v>
      </c>
      <c r="G12" s="251"/>
      <c r="H12" s="251"/>
      <c r="I12" s="47" t="str">
        <f t="array" ref="I1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3)),IF(ISBLANK(ModelVariablesNames),"",IF(ISNUMBER(ModelVariablesNames),COUNTIF(ModelVariablesNames,"&lt;"&amp;ModelVariablesNames),COUNTIF(ModelVariablesNames,"&lt;"&amp;ModelVariablesNames)+SUM(IF(ISNUMBER(ModelVariablesNames),1,0))+1)),0)),)</f>
        <v>F</v>
      </c>
      <c r="J12" s="31"/>
      <c r="K12" s="61"/>
      <c r="L12" s="61"/>
      <c r="M12" s="61"/>
      <c r="N12" s="36"/>
      <c r="O12" s="49">
        <f>COUNTA(IntegrationMethod)</f>
        <v>1</v>
      </c>
      <c r="P12" s="253" t="s">
        <v>24</v>
      </c>
      <c r="Q12" s="253"/>
      <c r="R12" s="254" t="s">
        <v>62</v>
      </c>
      <c r="S12" s="254"/>
      <c r="T12"/>
      <c r="U12"/>
      <c r="V12" s="36"/>
      <c r="W12" s="36"/>
      <c r="X12" s="62"/>
      <c r="Y12" s="238" t="s">
        <v>9</v>
      </c>
      <c r="Z12" s="63" t="s">
        <v>25</v>
      </c>
      <c r="AA12" s="64" t="s">
        <v>26</v>
      </c>
      <c r="AB12" s="19"/>
      <c r="AC12" s="19"/>
      <c r="AD12" s="65" t="s">
        <v>27</v>
      </c>
      <c r="AE12" s="66"/>
      <c r="AF12" s="67"/>
      <c r="AG12" s="68"/>
      <c r="AH12" s="60"/>
    </row>
    <row r="13" spans="1:34" s="2" customFormat="1" ht="15" customHeight="1" thickBot="1" x14ac:dyDescent="0.3">
      <c r="A13" s="44">
        <f t="shared" si="0"/>
        <v>2</v>
      </c>
      <c r="B13" s="45" t="s">
        <v>87</v>
      </c>
      <c r="C13" s="54">
        <v>5</v>
      </c>
      <c r="D13" s="251" t="s">
        <v>94</v>
      </c>
      <c r="E13" s="251"/>
      <c r="F13" s="251" t="s">
        <v>100</v>
      </c>
      <c r="G13" s="251"/>
      <c r="H13" s="251"/>
      <c r="I13" s="47" t="str">
        <f t="array" ref="I1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4)),IF(ISBLANK(ModelVariablesNames),"",IF(ISNUMBER(ModelVariablesNames),COUNTIF(ModelVariablesNames,"&lt;"&amp;ModelVariablesNames),COUNTIF(ModelVariablesNames,"&lt;"&amp;ModelVariablesNames)+SUM(IF(ISNUMBER(ModelVariablesNames),1,0))+1)),0)),)</f>
        <v>P</v>
      </c>
      <c r="J13" s="31" t="s">
        <v>28</v>
      </c>
      <c r="K13" s="69"/>
      <c r="L13" s="31"/>
      <c r="M13" s="69"/>
      <c r="N13" s="36"/>
      <c r="O13" s="70"/>
      <c r="P13" s="71"/>
      <c r="Q13" s="72"/>
      <c r="R13" s="70"/>
      <c r="S13" s="70"/>
      <c r="T13" s="70"/>
      <c r="U13" s="70"/>
      <c r="V13" s="36"/>
      <c r="W13" s="36"/>
      <c r="X13" s="73">
        <f t="shared" ref="X13" si="1">NOT(AND(ISNA(VLOOKUP(Y13,ModelVariablesNames,1,FALSE)),NOT(ISBLANK(Y13))))*COUNTA(Y13)+COUNTA(AA13)+0.5*AB13</f>
        <v>2</v>
      </c>
      <c r="Y13" s="74" t="s">
        <v>84</v>
      </c>
      <c r="Z13" s="75"/>
      <c r="AA13" s="76">
        <v>1</v>
      </c>
      <c r="AB13" s="77" t="b">
        <v>0</v>
      </c>
      <c r="AC13" s="78"/>
      <c r="AD13" s="39"/>
      <c r="AE13" s="40" t="s">
        <v>29</v>
      </c>
      <c r="AF13" s="41"/>
      <c r="AG13" s="42">
        <f>MinimalIntegrationStep</f>
        <v>0.01</v>
      </c>
      <c r="AH13" s="60"/>
    </row>
    <row r="14" spans="1:34" s="2" customFormat="1" ht="15" customHeight="1" thickBot="1" x14ac:dyDescent="0.3">
      <c r="A14" s="44">
        <f t="shared" si="0"/>
        <v>2</v>
      </c>
      <c r="B14" s="45" t="s">
        <v>88</v>
      </c>
      <c r="C14" s="54">
        <v>60</v>
      </c>
      <c r="D14" s="251" t="s">
        <v>97</v>
      </c>
      <c r="E14" s="251"/>
      <c r="F14" s="251" t="s">
        <v>101</v>
      </c>
      <c r="G14" s="251"/>
      <c r="H14" s="251"/>
      <c r="I14" s="47" t="str">
        <f t="array" ref="I1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5)),IF(ISBLANK(ModelVariablesNames),"",IF(ISNUMBER(ModelVariablesNames),COUNTIF(ModelVariablesNames,"&lt;"&amp;ModelVariablesNames),COUNTIF(ModelVariablesNames,"&lt;"&amp;ModelVariablesNames)+SUM(IF(ISNUMBER(ModelVariablesNames),1,0))+1)),0)),)</f>
        <v>ro</v>
      </c>
      <c r="J14" s="37">
        <f>IF(ISNA(VLOOKUP(ControlledVariable,ModelVariablesNames,1,FALSE)),0,1)</f>
        <v>1</v>
      </c>
      <c r="K14" s="243" t="s">
        <v>30</v>
      </c>
      <c r="L14" s="243"/>
      <c r="M14" s="35" t="s">
        <v>85</v>
      </c>
      <c r="N14" s="36"/>
      <c r="O14" s="31" t="s">
        <v>78</v>
      </c>
      <c r="P14" s="70"/>
      <c r="Q14" s="79"/>
      <c r="R14" s="80"/>
      <c r="S14" s="80"/>
      <c r="T14" s="81"/>
      <c r="U14" s="81"/>
      <c r="V14" s="36"/>
      <c r="W14" s="36"/>
      <c r="X14" s="73">
        <f t="shared" ref="X14" si="2">NOT(AND(ISNA(VLOOKUP(Y14,ModelVariablesNames,1,FALSE)),NOT(ISBLANK(Y14))))*COUNTA(Y14)+COUNTA(AA14)+0.5*AB14</f>
        <v>2</v>
      </c>
      <c r="Y14" s="82" t="s">
        <v>85</v>
      </c>
      <c r="Z14" s="83"/>
      <c r="AA14" s="84">
        <v>2</v>
      </c>
      <c r="AB14" s="77" t="b">
        <v>0</v>
      </c>
      <c r="AC14" s="78"/>
      <c r="AD14" s="85"/>
      <c r="AE14" s="51" t="s">
        <v>32</v>
      </c>
      <c r="AF14" s="52"/>
      <c r="AG14" s="53">
        <f>NumSimulationValues</f>
        <v>600</v>
      </c>
      <c r="AH14" s="60"/>
    </row>
    <row r="15" spans="1:34" s="2" customFormat="1" ht="15" customHeight="1" x14ac:dyDescent="0.25">
      <c r="A15" s="44">
        <f t="shared" si="0"/>
        <v>2</v>
      </c>
      <c r="B15" s="45" t="s">
        <v>89</v>
      </c>
      <c r="C15" s="239">
        <v>0.9</v>
      </c>
      <c r="D15" s="251"/>
      <c r="E15" s="251"/>
      <c r="F15" s="251" t="s">
        <v>102</v>
      </c>
      <c r="G15" s="251"/>
      <c r="H15" s="251"/>
      <c r="I15" s="47" t="str">
        <f t="array" ref="I1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6)),IF(ISBLANK(ModelVariablesNames),"",IF(ISNUMBER(ModelVariablesNames),COUNTIF(ModelVariablesNames,"&lt;"&amp;ModelVariablesNames),COUNTIF(ModelVariablesNames,"&lt;"&amp;ModelVariablesNames)+SUM(IF(ISNUMBER(ModelVariablesNames),1,0))+1)),0)),)</f>
        <v>T1</v>
      </c>
      <c r="J15" s="37">
        <f>COUNTA(SetPoint)</f>
        <v>1</v>
      </c>
      <c r="K15" s="249" t="s">
        <v>33</v>
      </c>
      <c r="L15" s="249"/>
      <c r="M15" s="86">
        <f>C11</f>
        <v>40.794124671602574</v>
      </c>
      <c r="N15" s="36"/>
      <c r="O15" s="70"/>
      <c r="P15" s="255" t="s">
        <v>9</v>
      </c>
      <c r="Q15" s="255" t="s">
        <v>34</v>
      </c>
      <c r="R15" s="257" t="s">
        <v>35</v>
      </c>
      <c r="S15" s="257"/>
      <c r="T15" s="258" t="s">
        <v>36</v>
      </c>
      <c r="U15" s="258"/>
      <c r="V15" s="36"/>
      <c r="W15" s="36"/>
      <c r="X15" s="73">
        <f t="shared" ref="X15" si="3">NOT(AND(ISNA(VLOOKUP(Y15,ModelVariablesNames,1,FALSE)),NOT(ISBLANK(Y15))))*COUNTA(Y15)+COUNTA(AA15)+0.5*AB15</f>
        <v>0</v>
      </c>
      <c r="Y15" s="82"/>
      <c r="Z15" s="83"/>
      <c r="AA15" s="84"/>
      <c r="AB15" s="77" t="b">
        <v>0</v>
      </c>
      <c r="AC15" s="78"/>
      <c r="AD15" s="85"/>
      <c r="AE15" s="57"/>
      <c r="AF15" s="58"/>
      <c r="AG15" s="59"/>
    </row>
    <row r="16" spans="1:34" s="2" customFormat="1" ht="15" customHeight="1" thickBot="1" x14ac:dyDescent="0.3">
      <c r="A16" s="44">
        <f t="shared" si="0"/>
        <v>2</v>
      </c>
      <c r="B16" s="45" t="s">
        <v>90</v>
      </c>
      <c r="C16" s="54">
        <v>1</v>
      </c>
      <c r="D16" s="251" t="s">
        <v>96</v>
      </c>
      <c r="E16" s="251"/>
      <c r="F16" s="251" t="s">
        <v>103</v>
      </c>
      <c r="G16" s="251"/>
      <c r="H16" s="251"/>
      <c r="I16" s="47" t="str">
        <f t="array" ref="I1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7)),IF(ISBLANK(ModelVariablesNames),"",IF(ISNUMBER(ModelVariablesNames),COUNTIF(ModelVariablesNames,"&lt;"&amp;ModelVariablesNames),COUNTIF(ModelVariablesNames,"&lt;"&amp;ModelVariablesNames)+SUM(IF(ISNUMBER(ModelVariablesNames),1,0))+1)),0)),)</f>
        <v>T2</v>
      </c>
      <c r="J16" s="37">
        <f>COUNTA(Mode)</f>
        <v>1</v>
      </c>
      <c r="K16" s="259" t="s">
        <v>37</v>
      </c>
      <c r="L16" s="259"/>
      <c r="M16" s="48" t="s">
        <v>79</v>
      </c>
      <c r="N16" s="36"/>
      <c r="O16" s="70"/>
      <c r="P16" s="256"/>
      <c r="Q16" s="256"/>
      <c r="R16" s="87" t="s">
        <v>38</v>
      </c>
      <c r="S16" s="88" t="s">
        <v>39</v>
      </c>
      <c r="T16" s="88" t="s">
        <v>40</v>
      </c>
      <c r="U16" s="88" t="s">
        <v>41</v>
      </c>
      <c r="V16" s="36"/>
      <c r="W16" s="36"/>
      <c r="X16" s="73">
        <f t="shared" ref="X16" si="4">NOT(AND(ISNA(VLOOKUP(Y16,ModelVariablesNames,1,FALSE)),NOT(ISBLANK(Y16))))*COUNTA(Y16)+COUNTA(AA16)+0.5*AB16</f>
        <v>0</v>
      </c>
      <c r="Y16" s="82"/>
      <c r="Z16" s="83"/>
      <c r="AA16" s="84"/>
      <c r="AB16" s="77" t="b">
        <v>0</v>
      </c>
      <c r="AC16" s="78"/>
      <c r="AD16" s="85"/>
      <c r="AE16" s="57"/>
      <c r="AF16" s="58"/>
      <c r="AG16" s="59"/>
    </row>
    <row r="17" spans="1:33" s="2" customFormat="1" ht="15" customHeight="1" x14ac:dyDescent="0.3">
      <c r="A17" s="44">
        <f t="shared" si="0"/>
        <v>2</v>
      </c>
      <c r="B17" s="45" t="s">
        <v>91</v>
      </c>
      <c r="C17" s="54">
        <v>4.1870000000000003</v>
      </c>
      <c r="D17" s="251" t="s">
        <v>95</v>
      </c>
      <c r="E17" s="251"/>
      <c r="F17" s="251" t="s">
        <v>104</v>
      </c>
      <c r="G17" s="251"/>
      <c r="H17" s="251"/>
      <c r="I17" s="47" t="str">
        <f t="array" ref="I1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8)),IF(ISBLANK(ModelVariablesNames),"",IF(ISNUMBER(ModelVariablesNames),COUNTIF(ModelVariablesNames,"&lt;"&amp;ModelVariablesNames),COUNTIF(ModelVariablesNames,"&lt;"&amp;ModelVariablesNames)+SUM(IF(ISNUMBER(ModelVariablesNames),1,0))+1)),0)),)</f>
        <v>V</v>
      </c>
      <c r="J17" s="89"/>
      <c r="K17" s="260" t="s">
        <v>42</v>
      </c>
      <c r="L17" s="260"/>
      <c r="M17" s="61"/>
      <c r="N17" s="36"/>
      <c r="O17" s="90">
        <f t="shared" ref="O17" si="5">IF(V17=0,COUNTA(P17:Q17),ISTEXT(VLOOKUP(P17,$I$9:$I$34,1,FALSE))*COUNTA(P17)+1+COUNTA(R17)+CHOOSE(V17,(T17&lt;FinalTime)*COUNTA(T17)+2,(T17&lt;FinalTime)*COUNTA(T17)+(U17&lt;=FinalTime)*(U17&gt;T17)*COUNTA(U17)+1,COUNTA(S17)+(T17&lt;FinalTime)*COUNTA(T17)+(U17&lt;=FinalTime)*(U17&gt;T17)*COUNTA(U17)))</f>
        <v>6</v>
      </c>
      <c r="P17" s="91" t="s">
        <v>84</v>
      </c>
      <c r="Q17" s="92" t="s">
        <v>63</v>
      </c>
      <c r="R17" s="175">
        <v>5</v>
      </c>
      <c r="S17" s="94"/>
      <c r="T17" s="175">
        <v>5</v>
      </c>
      <c r="U17" s="93">
        <f>IF(AND(FinalTime&gt;0,T17&lt;FinalTime),FinalTime,"")</f>
        <v>60</v>
      </c>
      <c r="V17" s="95">
        <f>IF(Q17="step",1,IF(Q17="ramp",2,IF(Q17="sinus",3,)))</f>
        <v>1</v>
      </c>
      <c r="W17" s="96" t="str">
        <f>IFERROR(INDEX(LoadVariablesNames,MATCH(0,INDEX(COUNTIF($W$16:W16,LoadVariablesNames),,),)),0)</f>
        <v>T1</v>
      </c>
      <c r="X17" s="73">
        <f t="shared" ref="X17" si="6">NOT(AND(ISNA(VLOOKUP(Y17,ModelVariablesNames,1,FALSE)),NOT(ISBLANK(Y17))))*COUNTA(Y17)+COUNTA(AA17)+0.5*AB17</f>
        <v>0</v>
      </c>
      <c r="Y17" s="82"/>
      <c r="Z17" s="83"/>
      <c r="AA17" s="84"/>
      <c r="AB17" s="77" t="b">
        <v>0</v>
      </c>
      <c r="AC17" s="78"/>
      <c r="AD17" s="97" t="s">
        <v>43</v>
      </c>
      <c r="AE17" s="98"/>
      <c r="AF17" s="99"/>
      <c r="AG17" s="59"/>
    </row>
    <row r="18" spans="1:33" s="2" customFormat="1" ht="15" customHeight="1" x14ac:dyDescent="0.25">
      <c r="A18" s="44">
        <f t="shared" si="0"/>
        <v>0</v>
      </c>
      <c r="B18" s="45"/>
      <c r="C18" s="54"/>
      <c r="D18" s="251"/>
      <c r="E18" s="251"/>
      <c r="F18" s="251"/>
      <c r="G18" s="251"/>
      <c r="H18" s="251"/>
      <c r="I18" s="47">
        <f t="array" ref="I1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8" s="37">
        <f>COUNTA(Action)</f>
        <v>1</v>
      </c>
      <c r="K18" s="249" t="s">
        <v>44</v>
      </c>
      <c r="L18" s="249"/>
      <c r="M18" s="48" t="s">
        <v>80</v>
      </c>
      <c r="N18" s="100">
        <f>IF(Action="P",1,IF(Action="PI",2,IF(Action="PD",3,IF(Action="PID","4",))))</f>
        <v>2</v>
      </c>
      <c r="O18" s="90">
        <f t="shared" ref="O18" si="7">IF(V18=0,COUNTA(P18:Q18),ISTEXT(VLOOKUP(P18,$I$9:$I$34,1,FALSE))*COUNTA(P18)+1+COUNTA(R18)+CHOOSE(V18,(T18&lt;FinalTime)*COUNTA(T18)+2,(T18&lt;FinalTime)*COUNTA(T18)+(U18&lt;=FinalTime)*(U18&gt;T18)*COUNTA(U18)+1,COUNTA(S18)+(T18&lt;FinalTime)*COUNTA(T18)+(U18&lt;=FinalTime)*(U18&gt;T18)*COUNTA(U18)))</f>
        <v>0</v>
      </c>
      <c r="P18" s="101"/>
      <c r="Q18" s="102"/>
      <c r="R18" s="103"/>
      <c r="S18" s="104"/>
      <c r="T18" s="103"/>
      <c r="U18" s="103"/>
      <c r="V18" s="95">
        <f t="shared" ref="V18:V34" si="8">IF(Q18="step",1,IF(Q18="ramp",2,IF(Q18="sinus",3,)))</f>
        <v>0</v>
      </c>
      <c r="W18" s="96">
        <f>IFERROR(INDEX(LoadVariablesNames,MATCH(0,INDEX(COUNTIF($W$16:W17,LoadVariablesNames),,),)),0)</f>
        <v>0</v>
      </c>
      <c r="X18" s="73">
        <f t="shared" ref="X18" si="9">NOT(AND(ISNA(VLOOKUP(Y18,ModelVariablesNames,1,FALSE)),NOT(ISBLANK(Y18))))*COUNTA(Y18)+COUNTA(AA18)+0.5*AB18</f>
        <v>0</v>
      </c>
      <c r="Y18" s="82"/>
      <c r="Z18" s="83"/>
      <c r="AA18" s="84"/>
      <c r="AB18" s="77" t="b">
        <v>0</v>
      </c>
      <c r="AC18" s="78"/>
      <c r="AD18" s="65" t="s">
        <v>45</v>
      </c>
      <c r="AE18" s="57"/>
      <c r="AF18" s="58"/>
      <c r="AG18" s="105" t="b">
        <f>COUNTIF(AG20:AG27,"=PRAVDA")=COUNTA(AG20:AG27)</f>
        <v>1</v>
      </c>
    </row>
    <row r="19" spans="1:33" s="2" customFormat="1" ht="15" customHeight="1" thickBot="1" x14ac:dyDescent="0.3">
      <c r="A19" s="44">
        <f t="shared" si="0"/>
        <v>0</v>
      </c>
      <c r="B19" s="45"/>
      <c r="C19" s="54"/>
      <c r="D19" s="251"/>
      <c r="E19" s="251"/>
      <c r="F19" s="251"/>
      <c r="G19" s="251"/>
      <c r="H19" s="251"/>
      <c r="I19" s="47">
        <f t="array" ref="I1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19" s="37">
        <f>COUNTA(r0)</f>
        <v>1</v>
      </c>
      <c r="K19" s="259" t="s">
        <v>46</v>
      </c>
      <c r="L19" s="259"/>
      <c r="M19" s="48">
        <v>15</v>
      </c>
      <c r="N19" s="36"/>
      <c r="O19" s="90">
        <f t="shared" ref="O19" si="10">IF(V19=0,COUNTA(P19:Q19),ISTEXT(VLOOKUP(P19,$I$9:$I$34,1,FALSE))*COUNTA(P19)+1+COUNTA(R19)+CHOOSE(V19,(T19&lt;FinalTime)*COUNTA(T19)+2,(T19&lt;FinalTime)*COUNTA(T19)+(U19&lt;=FinalTime)*(U19&gt;T19)*COUNTA(U19)+1,COUNTA(S19)+(T19&lt;FinalTime)*COUNTA(T19)+(U19&lt;=FinalTime)*(U19&gt;T19)*COUNTA(U19)))</f>
        <v>0</v>
      </c>
      <c r="P19" s="101"/>
      <c r="Q19" s="102"/>
      <c r="R19" s="103"/>
      <c r="S19" s="104"/>
      <c r="T19" s="103"/>
      <c r="U19" s="103"/>
      <c r="V19" s="95">
        <f t="shared" si="8"/>
        <v>0</v>
      </c>
      <c r="W19" s="96">
        <f>IFERROR(INDEX(LoadVariablesNames,MATCH(0,INDEX(COUNTIF($W$16:W18,LoadVariablesNames),,),)),0)</f>
        <v>0</v>
      </c>
      <c r="X19" s="73">
        <f t="shared" ref="X19" si="11">NOT(AND(ISNA(VLOOKUP(Y19,ModelVariablesNames,1,FALSE)),NOT(ISBLANK(Y19))))*COUNTA(Y19)+COUNTA(AA19)+0.5*AB19</f>
        <v>0</v>
      </c>
      <c r="Y19" s="82"/>
      <c r="Z19" s="83"/>
      <c r="AA19" s="84"/>
      <c r="AB19" s="77" t="b">
        <v>0</v>
      </c>
      <c r="AC19" s="78"/>
      <c r="AD19" s="106" t="str">
        <f>A7</f>
        <v>MODEL</v>
      </c>
      <c r="AE19" s="66"/>
      <c r="AF19" s="107"/>
      <c r="AG19" s="59"/>
    </row>
    <row r="20" spans="1:33" s="2" customFormat="1" ht="15" customHeight="1" x14ac:dyDescent="0.25">
      <c r="A20" s="44">
        <f t="shared" si="0"/>
        <v>0</v>
      </c>
      <c r="B20" s="45"/>
      <c r="C20" s="54"/>
      <c r="D20" s="251"/>
      <c r="E20" s="251"/>
      <c r="F20" s="251"/>
      <c r="G20" s="251"/>
      <c r="H20" s="251"/>
      <c r="I20" s="47">
        <f t="array" ref="I2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0" s="37">
        <f>COUNTA(Ti)</f>
        <v>1</v>
      </c>
      <c r="K20" s="259" t="s">
        <v>47</v>
      </c>
      <c r="L20" s="259"/>
      <c r="M20" s="108">
        <v>4</v>
      </c>
      <c r="N20" s="36"/>
      <c r="O20" s="90">
        <f t="shared" ref="O20" si="12">IF(V20=0,COUNTA(P20:Q20),ISTEXT(VLOOKUP(P20,$I$9:$I$34,1,FALSE))*COUNTA(P20)+1+COUNTA(R20)+CHOOSE(V20,(T20&lt;FinalTime)*COUNTA(T20)+2,(T20&lt;FinalTime)*COUNTA(T20)+(U20&lt;=FinalTime)*(U20&gt;T20)*COUNTA(U20)+1,COUNTA(S20)+(T20&lt;FinalTime)*COUNTA(T20)+(U20&lt;=FinalTime)*(U20&gt;T20)*COUNTA(U20)))</f>
        <v>0</v>
      </c>
      <c r="P20" s="101"/>
      <c r="Q20" s="102"/>
      <c r="R20" s="103"/>
      <c r="S20" s="104"/>
      <c r="T20" s="103"/>
      <c r="U20" s="103"/>
      <c r="V20" s="95">
        <f t="shared" si="8"/>
        <v>0</v>
      </c>
      <c r="W20" s="96">
        <f>IFERROR(INDEX(LoadVariablesNames,MATCH(0,INDEX(COUNTIF($W$16:W19,LoadVariablesNames),,),)),0)</f>
        <v>0</v>
      </c>
      <c r="X20" s="73">
        <f t="shared" ref="X20" si="13">NOT(AND(ISNA(VLOOKUP(Y20,ModelVariablesNames,1,FALSE)),NOT(ISBLANK(Y20))))*COUNTA(Y20)+COUNTA(AA20)+0.5*AB20</f>
        <v>0</v>
      </c>
      <c r="Y20" s="109"/>
      <c r="Z20" s="110"/>
      <c r="AA20" s="111"/>
      <c r="AB20" s="77" t="b">
        <v>0</v>
      </c>
      <c r="AC20" s="78"/>
      <c r="AD20" s="39"/>
      <c r="AE20" s="40" t="str">
        <f>A8</f>
        <v>Model Variables and Constants</v>
      </c>
      <c r="AF20" s="41"/>
      <c r="AG20" s="112" t="b">
        <f>AND(COUNTIF($A$10:$A$34,"=2")&gt;0,COUNTIF($A$10:$A$34,"=1")=0)</f>
        <v>1</v>
      </c>
    </row>
    <row r="21" spans="1:33" s="2" customFormat="1" ht="15" customHeight="1" thickBot="1" x14ac:dyDescent="0.3">
      <c r="A21" s="44">
        <f t="shared" si="0"/>
        <v>0</v>
      </c>
      <c r="B21" s="45"/>
      <c r="C21" s="54"/>
      <c r="D21" s="251"/>
      <c r="E21" s="251"/>
      <c r="F21" s="251"/>
      <c r="G21" s="251"/>
      <c r="H21" s="251"/>
      <c r="I21" s="47">
        <f t="array" ref="I2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1" s="90">
        <f>COUNTA(Td)</f>
        <v>0</v>
      </c>
      <c r="K21" s="261" t="s">
        <v>48</v>
      </c>
      <c r="L21" s="261"/>
      <c r="M21" s="56"/>
      <c r="N21" s="36"/>
      <c r="O21" s="90">
        <f t="shared" ref="O21" si="14">IF(V21=0,COUNTA(P21:Q21),ISTEXT(VLOOKUP(P21,$I$9:$I$34,1,FALSE))*COUNTA(P21)+1+COUNTA(R21)+CHOOSE(V21,(T21&lt;FinalTime)*COUNTA(T21)+2,(T21&lt;FinalTime)*COUNTA(T21)+(U21&lt;=FinalTime)*(U21&gt;T21)*COUNTA(U21)+1,COUNTA(S21)+(T21&lt;FinalTime)*COUNTA(T21)+(U21&lt;=FinalTime)*(U21&gt;T21)*COUNTA(U21)))</f>
        <v>0</v>
      </c>
      <c r="P21" s="101"/>
      <c r="Q21" s="102"/>
      <c r="R21" s="103"/>
      <c r="S21" s="104"/>
      <c r="T21" s="103"/>
      <c r="U21" s="103"/>
      <c r="V21" s="95">
        <f t="shared" si="8"/>
        <v>0</v>
      </c>
      <c r="W21" s="96">
        <f>IFERROR(INDEX(LoadVariablesNames,MATCH(0,INDEX(COUNTIF($W$16:W20,LoadVariablesNames),,),)),0)</f>
        <v>0</v>
      </c>
      <c r="X21" s="73">
        <f t="shared" ref="X21" si="15">NOT(AND(ISNA(VLOOKUP(Y21,ModelVariablesNames,1,FALSE)),NOT(ISBLANK(Y21))))*COUNTA(Y21)+COUNTA(AA21)+0.5*AB21</f>
        <v>0</v>
      </c>
      <c r="Y21" s="109"/>
      <c r="Z21" s="110"/>
      <c r="AA21" s="111"/>
      <c r="AB21" s="77" t="b">
        <v>0</v>
      </c>
      <c r="AC21" s="78"/>
      <c r="AD21" s="39"/>
      <c r="AE21" s="113" t="str">
        <f>A36</f>
        <v>Model First-order ODEs</v>
      </c>
      <c r="AF21" s="114"/>
      <c r="AG21" s="115" t="b">
        <f t="array" ref="AG21">AND(AND(COUNTIF($A$38:$A$47,"=2")&gt;0,COUNTIF($A$38:$A$47,"=1")=0),SUMSQ(COUNTIF(ModelVariablesNames,ModelODEsVariables)))</f>
        <v>1</v>
      </c>
    </row>
    <row r="22" spans="1:33" s="2" customFormat="1" ht="15" customHeight="1" x14ac:dyDescent="0.25">
      <c r="A22" s="44">
        <f t="shared" si="0"/>
        <v>0</v>
      </c>
      <c r="B22" s="45"/>
      <c r="C22" s="54"/>
      <c r="D22" s="251"/>
      <c r="E22" s="251"/>
      <c r="F22" s="251"/>
      <c r="G22" s="251"/>
      <c r="H22" s="251"/>
      <c r="I22" s="47">
        <f t="array" ref="I2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2" s="89"/>
      <c r="K22" s="61"/>
      <c r="L22" s="61"/>
      <c r="M22" s="61"/>
      <c r="N22" s="36"/>
      <c r="O22" s="90">
        <f t="shared" ref="O22" si="16">IF(V22=0,COUNTA(P22:Q22),ISTEXT(VLOOKUP(P22,$I$9:$I$34,1,FALSE))*COUNTA(P22)+1+COUNTA(R22)+CHOOSE(V22,(T22&lt;FinalTime)*COUNTA(T22)+2,(T22&lt;FinalTime)*COUNTA(T22)+(U22&lt;=FinalTime)*(U22&gt;T22)*COUNTA(U22)+1,COUNTA(S22)+(T22&lt;FinalTime)*COUNTA(T22)+(U22&lt;=FinalTime)*(U22&gt;T22)*COUNTA(U22)))</f>
        <v>0</v>
      </c>
      <c r="P22" s="101"/>
      <c r="Q22" s="102"/>
      <c r="R22" s="103"/>
      <c r="S22" s="104"/>
      <c r="T22" s="103"/>
      <c r="U22" s="103"/>
      <c r="V22" s="95">
        <f t="shared" si="8"/>
        <v>0</v>
      </c>
      <c r="W22" s="96">
        <f>IFERROR(INDEX(LoadVariablesNames,MATCH(0,INDEX(COUNTIF($W$16:W21,LoadVariablesNames),,),)),0)</f>
        <v>0</v>
      </c>
      <c r="X22" s="73">
        <f t="shared" ref="X22" si="17">NOT(AND(ISNA(VLOOKUP(Y22,ModelVariablesNames,1,FALSE)),NOT(ISBLANK(Y22))))*COUNTA(Y22)+COUNTA(AA22)+0.5*AB22</f>
        <v>0</v>
      </c>
      <c r="Y22" s="109"/>
      <c r="Z22" s="110"/>
      <c r="AA22" s="111"/>
      <c r="AB22" s="77" t="b">
        <v>0</v>
      </c>
      <c r="AC22" s="78"/>
      <c r="AD22" s="116" t="str">
        <f>O7</f>
        <v>SIMULATION</v>
      </c>
      <c r="AE22" s="57"/>
      <c r="AF22" s="58"/>
      <c r="AG22" s="115"/>
    </row>
    <row r="23" spans="1:33" s="2" customFormat="1" ht="15" customHeight="1" thickBot="1" x14ac:dyDescent="0.3">
      <c r="A23" s="44">
        <f t="shared" si="0"/>
        <v>0</v>
      </c>
      <c r="B23" s="45"/>
      <c r="C23" s="54"/>
      <c r="D23" s="251"/>
      <c r="E23" s="251"/>
      <c r="F23" s="251"/>
      <c r="G23" s="251"/>
      <c r="H23" s="251"/>
      <c r="I23" s="47">
        <f t="array" ref="I2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3" s="31" t="s">
        <v>49</v>
      </c>
      <c r="K23" s="69"/>
      <c r="L23" s="31"/>
      <c r="M23" s="69"/>
      <c r="N23" s="36"/>
      <c r="O23" s="90">
        <f t="shared" ref="O23" si="18">IF(V23=0,COUNTA(P23:Q23),ISTEXT(VLOOKUP(P23,$I$9:$I$34,1,FALSE))*COUNTA(P23)+1+COUNTA(R23)+CHOOSE(V23,(T23&lt;FinalTime)*COUNTA(T23)+2,(T23&lt;FinalTime)*COUNTA(T23)+(U23&lt;=FinalTime)*(U23&gt;T23)*COUNTA(U23)+1,COUNTA(S23)+(T23&lt;FinalTime)*COUNTA(T23)+(U23&lt;=FinalTime)*(U23&gt;T23)*COUNTA(U23)))</f>
        <v>0</v>
      </c>
      <c r="P23" s="101"/>
      <c r="Q23" s="102"/>
      <c r="R23" s="103"/>
      <c r="S23" s="104"/>
      <c r="T23" s="103"/>
      <c r="U23" s="103"/>
      <c r="V23" s="95">
        <f t="shared" si="8"/>
        <v>0</v>
      </c>
      <c r="W23" s="96">
        <f>IFERROR(INDEX(LoadVariablesNames,MATCH(0,INDEX(COUNTIF($W$16:W22,LoadVariablesNames),,),)),0)</f>
        <v>0</v>
      </c>
      <c r="X23" s="73">
        <f t="shared" ref="X23" si="19">NOT(AND(ISNA(VLOOKUP(Y23,ModelVariablesNames,1,FALSE)),NOT(ISBLANK(Y23))))*COUNTA(Y23)+COUNTA(AA23)+0.5*AB23</f>
        <v>0</v>
      </c>
      <c r="Y23" s="109"/>
      <c r="Z23" s="110"/>
      <c r="AA23" s="111"/>
      <c r="AB23" s="117" t="b">
        <v>0</v>
      </c>
      <c r="AC23" s="118"/>
      <c r="AD23" s="39"/>
      <c r="AE23" s="113" t="str">
        <f>O8</f>
        <v>Integration Parameters</v>
      </c>
      <c r="AF23" s="114"/>
      <c r="AG23" s="115" t="b">
        <f>SUM($O$9:$O$12)=4</f>
        <v>1</v>
      </c>
    </row>
    <row r="24" spans="1:33" s="2" customFormat="1" ht="15" customHeight="1" x14ac:dyDescent="0.25">
      <c r="A24" s="44">
        <f t="shared" si="0"/>
        <v>0</v>
      </c>
      <c r="B24" s="45"/>
      <c r="C24" s="54"/>
      <c r="D24" s="251"/>
      <c r="E24" s="251"/>
      <c r="F24" s="251"/>
      <c r="G24" s="251"/>
      <c r="H24" s="251"/>
      <c r="I24" s="47">
        <f t="array" ref="I2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15)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4" s="37">
        <f>IF(ISNA(VLOOKUP(ManipulatedVariable,ModelVariablesNames,1,FALSE)),0,1)</f>
        <v>1</v>
      </c>
      <c r="K24" s="243" t="s">
        <v>50</v>
      </c>
      <c r="L24" s="243"/>
      <c r="M24" s="35" t="s">
        <v>88</v>
      </c>
      <c r="N24" s="36"/>
      <c r="O24" s="90">
        <f t="shared" ref="O24" si="20">IF(V24=0,COUNTA(P24:Q24),ISTEXT(VLOOKUP(P24,$I$9:$I$34,1,FALSE))*COUNTA(P24)+1+COUNTA(R24)+CHOOSE(V24,(T24&lt;FinalTime)*COUNTA(T24)+2,(T24&lt;FinalTime)*COUNTA(T24)+(U24&lt;=FinalTime)*(U24&gt;T24)*COUNTA(U24)+1,COUNTA(S24)+(T24&lt;FinalTime)*COUNTA(T24)+(U24&lt;=FinalTime)*(U24&gt;T24)*COUNTA(U24)))</f>
        <v>0</v>
      </c>
      <c r="P24" s="101"/>
      <c r="Q24" s="102"/>
      <c r="R24" s="103"/>
      <c r="S24" s="104"/>
      <c r="T24" s="103"/>
      <c r="U24" s="103"/>
      <c r="V24" s="95">
        <f t="shared" si="8"/>
        <v>0</v>
      </c>
      <c r="W24" s="96">
        <f>IFERROR(INDEX(LoadVariablesNames,MATCH(0,INDEX(COUNTIF($W$16:W23,LoadVariablesNames),,),)),0)</f>
        <v>0</v>
      </c>
      <c r="X24" s="73">
        <f t="shared" ref="X24" si="21">NOT(AND(ISNA(VLOOKUP(Y24,ModelVariablesNames,1,FALSE)),NOT(ISBLANK(Y24))))*COUNTA(Y24)+COUNTA(AA24)+0.5*AB24</f>
        <v>0</v>
      </c>
      <c r="Y24" s="109"/>
      <c r="Z24" s="110"/>
      <c r="AA24" s="111"/>
      <c r="AB24" s="117" t="b">
        <v>0</v>
      </c>
      <c r="AC24" s="118"/>
      <c r="AD24" s="39"/>
      <c r="AE24" s="113" t="str">
        <f>O14</f>
        <v>Disturbances / Set Point Changes</v>
      </c>
      <c r="AF24" s="114"/>
      <c r="AG24" s="119" t="b">
        <f>OR(SUM($O$17:$O$34)=0,COUNTIFS($O$17:$O$34,"&gt;0",$O$17:$O$34,"&lt;6")=0)</f>
        <v>1</v>
      </c>
    </row>
    <row r="25" spans="1:33" s="2" customFormat="1" ht="15" customHeight="1" x14ac:dyDescent="0.25">
      <c r="A25" s="44">
        <f t="shared" si="0"/>
        <v>0</v>
      </c>
      <c r="B25" s="45"/>
      <c r="C25" s="54"/>
      <c r="D25" s="251"/>
      <c r="E25" s="251"/>
      <c r="F25" s="251"/>
      <c r="G25" s="251"/>
      <c r="H25" s="251"/>
      <c r="I25" s="47">
        <f t="array" ref="I25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16)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5" s="49">
        <f>COUNTA(ManipulatedVariableLower)</f>
        <v>1</v>
      </c>
      <c r="K25" s="247" t="s">
        <v>17</v>
      </c>
      <c r="L25" s="237" t="s">
        <v>18</v>
      </c>
      <c r="M25" s="48">
        <v>0</v>
      </c>
      <c r="N25" s="36"/>
      <c r="O25" s="90">
        <f t="shared" ref="O25" si="22">IF(V25=0,COUNTA(P25:Q25),ISTEXT(VLOOKUP(P25,$I$9:$I$34,1,FALSE))*COUNTA(P25)+1+COUNTA(R25)+CHOOSE(V25,(T25&lt;FinalTime)*COUNTA(T25)+2,(T25&lt;FinalTime)*COUNTA(T25)+(U25&lt;=FinalTime)*(U25&gt;T25)*COUNTA(U25)+1,COUNTA(S25)+(T25&lt;FinalTime)*COUNTA(T25)+(U25&lt;=FinalTime)*(U25&gt;T25)*COUNTA(U25)))</f>
        <v>0</v>
      </c>
      <c r="P25" s="101"/>
      <c r="Q25" s="102"/>
      <c r="R25" s="103"/>
      <c r="S25" s="104"/>
      <c r="T25" s="103"/>
      <c r="U25" s="103"/>
      <c r="V25" s="95">
        <f t="shared" si="8"/>
        <v>0</v>
      </c>
      <c r="W25" s="96">
        <f>IFERROR(INDEX(LoadVariablesNames,MATCH(0,INDEX(COUNTIF($W$16:W24,LoadVariablesNames),,),)),0)</f>
        <v>0</v>
      </c>
      <c r="X25" s="73">
        <f t="shared" ref="X25" si="23">NOT(AND(ISNA(VLOOKUP(Y25,ModelVariablesNames,1,FALSE)),NOT(ISBLANK(Y25))))*COUNTA(Y25)+COUNTA(AA25)+0.5*AB25</f>
        <v>0</v>
      </c>
      <c r="Y25" s="109"/>
      <c r="Z25" s="110"/>
      <c r="AA25" s="111"/>
      <c r="AB25" s="117" t="b">
        <v>0</v>
      </c>
      <c r="AC25" s="118"/>
      <c r="AD25" s="39"/>
      <c r="AE25" s="113" t="str">
        <f>O36</f>
        <v>Output Variables</v>
      </c>
      <c r="AF25" s="114"/>
      <c r="AG25" s="119" t="b">
        <f>SUM($O$38:$O$47)&gt;0</f>
        <v>1</v>
      </c>
    </row>
    <row r="26" spans="1:33" s="2" customFormat="1" ht="15" customHeight="1" thickBot="1" x14ac:dyDescent="0.3">
      <c r="A26" s="44">
        <f t="shared" si="0"/>
        <v>0</v>
      </c>
      <c r="B26" s="45"/>
      <c r="C26" s="54"/>
      <c r="D26" s="251"/>
      <c r="E26" s="251"/>
      <c r="F26" s="251"/>
      <c r="G26" s="251"/>
      <c r="H26" s="251"/>
      <c r="I26" s="47">
        <f t="array" ref="I26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17)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6" s="49">
        <f>COUNTA(ManipulatedVariableHigher)</f>
        <v>1</v>
      </c>
      <c r="K26" s="248"/>
      <c r="L26" s="55" t="s">
        <v>21</v>
      </c>
      <c r="M26" s="120">
        <v>120</v>
      </c>
      <c r="N26" s="36"/>
      <c r="O26" s="90">
        <f t="shared" ref="O26" si="24">IF(V26=0,COUNTA(P26:Q26),ISTEXT(VLOOKUP(P26,$I$9:$I$34,1,FALSE))*COUNTA(P26)+1+COUNTA(R26)+CHOOSE(V26,(T26&lt;FinalTime)*COUNTA(T26)+2,(T26&lt;FinalTime)*COUNTA(T26)+(U26&lt;=FinalTime)*(U26&gt;T26)*COUNTA(U26)+1,COUNTA(S26)+(T26&lt;FinalTime)*COUNTA(T26)+(U26&lt;=FinalTime)*(U26&gt;T26)*COUNTA(U26)))</f>
        <v>0</v>
      </c>
      <c r="P26" s="101"/>
      <c r="Q26" s="102"/>
      <c r="R26" s="103"/>
      <c r="S26" s="104"/>
      <c r="T26" s="103"/>
      <c r="U26" s="103"/>
      <c r="V26" s="95">
        <f t="shared" si="8"/>
        <v>0</v>
      </c>
      <c r="W26" s="96">
        <f>IFERROR(INDEX(LoadVariablesNames,MATCH(0,INDEX(COUNTIF($W$16:W25,LoadVariablesNames),,),)),0)</f>
        <v>0</v>
      </c>
      <c r="X26" s="73">
        <f t="shared" ref="X26" si="25">NOT(AND(ISNA(VLOOKUP(Y26,ModelVariablesNames,1,FALSE)),NOT(ISBLANK(Y26))))*COUNTA(Y26)+COUNTA(AA26)+0.5*AB26</f>
        <v>0</v>
      </c>
      <c r="Y26" s="109"/>
      <c r="Z26" s="110"/>
      <c r="AA26" s="111"/>
      <c r="AB26" s="117" t="b">
        <v>0</v>
      </c>
      <c r="AC26" s="118"/>
      <c r="AD26" s="39"/>
      <c r="AE26" s="113" t="str">
        <f>X8</f>
        <v>Charts Parameters</v>
      </c>
      <c r="AF26" s="114"/>
      <c r="AG26" s="119" t="b">
        <f>OR(SUM($X$13:$X$35)=0,AND(SUM($X$13:$X$35)&gt;0,$X$9=1))</f>
        <v>1</v>
      </c>
    </row>
    <row r="27" spans="1:33" s="2" customFormat="1" ht="15" customHeight="1" thickBot="1" x14ac:dyDescent="0.3">
      <c r="A27" s="44">
        <f t="shared" si="0"/>
        <v>0</v>
      </c>
      <c r="B27" s="45"/>
      <c r="C27" s="54"/>
      <c r="D27" s="251"/>
      <c r="E27" s="251"/>
      <c r="F27" s="251"/>
      <c r="G27" s="251"/>
      <c r="H27" s="251"/>
      <c r="I27" s="47">
        <f t="array" ref="I27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18)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7" s="62"/>
      <c r="K27" s="121"/>
      <c r="L27" s="121"/>
      <c r="M27" s="121"/>
      <c r="N27" s="36"/>
      <c r="O27" s="90">
        <f t="shared" ref="O27" si="26">IF(V27=0,COUNTA(P27:Q27),ISTEXT(VLOOKUP(P27,$I$9:$I$34,1,FALSE))*COUNTA(P27)+1+COUNTA(R27)+CHOOSE(V27,(T27&lt;FinalTime)*COUNTA(T27)+2,(T27&lt;FinalTime)*COUNTA(T27)+(U27&lt;=FinalTime)*(U27&gt;T27)*COUNTA(U27)+1,COUNTA(S27)+(T27&lt;FinalTime)*COUNTA(T27)+(U27&lt;=FinalTime)*(U27&gt;T27)*COUNTA(U27)))</f>
        <v>0</v>
      </c>
      <c r="P27" s="101"/>
      <c r="Q27" s="102"/>
      <c r="R27" s="103"/>
      <c r="S27" s="104"/>
      <c r="T27" s="103"/>
      <c r="U27" s="103"/>
      <c r="V27" s="95">
        <f t="shared" si="8"/>
        <v>0</v>
      </c>
      <c r="W27" s="96">
        <f>IFERROR(INDEX(LoadVariablesNames,MATCH(0,INDEX(COUNTIF($W$16:W26,LoadVariablesNames),,),)),0)</f>
        <v>0</v>
      </c>
      <c r="X27" s="73">
        <f t="shared" ref="X27" si="27">NOT(AND(ISNA(VLOOKUP(Y27,ModelVariablesNames,1,FALSE)),NOT(ISBLANK(Y27))))*COUNTA(Y27)+COUNTA(AA27)+0.5*AB27</f>
        <v>0</v>
      </c>
      <c r="Y27" s="109"/>
      <c r="Z27" s="110"/>
      <c r="AA27" s="111"/>
      <c r="AB27" s="117" t="b">
        <v>0</v>
      </c>
      <c r="AC27" s="118"/>
      <c r="AD27" s="39"/>
      <c r="AE27" s="51" t="str">
        <f>X11</f>
        <v>Model Variables in Charts</v>
      </c>
      <c r="AF27" s="52"/>
      <c r="AG27" s="122" t="b">
        <f>AND(COUNTIF($X$13:$X$35,"=0,5")=0,COUNTIF($X$13:$X$35,"=1")=0,COUNTIF($X$13:$X$35,"=1,5")=0)</f>
        <v>1</v>
      </c>
    </row>
    <row r="28" spans="1:33" s="2" customFormat="1" ht="15" customHeight="1" x14ac:dyDescent="0.25">
      <c r="A28" s="44">
        <f t="shared" si="0"/>
        <v>0</v>
      </c>
      <c r="B28" s="45"/>
      <c r="C28" s="54"/>
      <c r="D28" s="251"/>
      <c r="E28" s="251"/>
      <c r="F28" s="251"/>
      <c r="G28" s="251"/>
      <c r="H28" s="251"/>
      <c r="I28" s="47">
        <f t="array" ref="I28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19)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28" s="36"/>
      <c r="K28" s="121"/>
      <c r="L28" s="121"/>
      <c r="M28" s="121"/>
      <c r="N28" s="36"/>
      <c r="O28" s="90">
        <f t="shared" ref="O28" si="28">IF(V28=0,COUNTA(P28:Q28),ISTEXT(VLOOKUP(P28,$I$9:$I$34,1,FALSE))*COUNTA(P28)+1+COUNTA(R28)+CHOOSE(V28,(T28&lt;FinalTime)*COUNTA(T28)+2,(T28&lt;FinalTime)*COUNTA(T28)+(U28&lt;=FinalTime)*(U28&gt;T28)*COUNTA(U28)+1,COUNTA(S28)+(T28&lt;FinalTime)*COUNTA(T28)+(U28&lt;=FinalTime)*(U28&gt;T28)*COUNTA(U28)))</f>
        <v>0</v>
      </c>
      <c r="P28" s="101"/>
      <c r="Q28" s="102"/>
      <c r="R28" s="103"/>
      <c r="S28" s="104"/>
      <c r="T28" s="103"/>
      <c r="U28" s="103"/>
      <c r="V28" s="95">
        <f t="shared" si="8"/>
        <v>0</v>
      </c>
      <c r="W28" s="96">
        <f>IFERROR(INDEX(LoadVariablesNames,MATCH(0,INDEX(COUNTIF($W$16:W27,LoadVariablesNames),,),)),0)</f>
        <v>0</v>
      </c>
      <c r="X28" s="73">
        <f t="shared" ref="X28" si="29">NOT(AND(ISNA(VLOOKUP(Y28,ModelVariablesNames,1,FALSE)),NOT(ISBLANK(Y28))))*COUNTA(Y28)+COUNTA(AA28)+0.5*AB28</f>
        <v>0</v>
      </c>
      <c r="Y28" s="109"/>
      <c r="Z28" s="110"/>
      <c r="AA28" s="111"/>
      <c r="AB28" s="117" t="b">
        <v>0</v>
      </c>
      <c r="AC28" s="118"/>
      <c r="AD28" s="39"/>
      <c r="AE28" s="57"/>
      <c r="AF28" s="58"/>
      <c r="AG28" s="59"/>
    </row>
    <row r="29" spans="1:33" s="2" customFormat="1" ht="15" customHeight="1" x14ac:dyDescent="0.25">
      <c r="A29" s="44">
        <f t="shared" si="0"/>
        <v>0</v>
      </c>
      <c r="B29" s="45"/>
      <c r="C29" s="54"/>
      <c r="D29" s="251"/>
      <c r="E29" s="251"/>
      <c r="F29" s="251"/>
      <c r="G29" s="251"/>
      <c r="H29" s="251"/>
      <c r="I29" s="47">
        <f t="array" ref="I29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20)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29" s="123"/>
      <c r="L29" s="121"/>
      <c r="M29" s="121"/>
      <c r="O29" s="90">
        <f t="shared" ref="O29" si="30">IF(V29=0,COUNTA(P29:Q29),ISTEXT(VLOOKUP(P29,$I$9:$I$34,1,FALSE))*COUNTA(P29)+1+COUNTA(R29)+CHOOSE(V29,(T29&lt;FinalTime)*COUNTA(T29)+2,(T29&lt;FinalTime)*COUNTA(T29)+(U29&lt;=FinalTime)*(U29&gt;T29)*COUNTA(U29)+1,COUNTA(S29)+(T29&lt;FinalTime)*COUNTA(T29)+(U29&lt;=FinalTime)*(U29&gt;T29)*COUNTA(U29)))</f>
        <v>0</v>
      </c>
      <c r="P29" s="101"/>
      <c r="Q29" s="102"/>
      <c r="R29" s="103"/>
      <c r="S29" s="104"/>
      <c r="T29" s="103"/>
      <c r="U29" s="103"/>
      <c r="V29" s="95">
        <f t="shared" si="8"/>
        <v>0</v>
      </c>
      <c r="W29" s="96">
        <f>IFERROR(INDEX(LoadVariablesNames,MATCH(0,INDEX(COUNTIF($W$16:W28,LoadVariablesNames),,),)),0)</f>
        <v>0</v>
      </c>
      <c r="X29" s="73">
        <f t="shared" ref="X29" si="31">NOT(AND(ISNA(VLOOKUP(Y29,ModelVariablesNames,1,FALSE)),NOT(ISBLANK(Y29))))*COUNTA(Y29)+COUNTA(AA29)+0.5*AB29</f>
        <v>0</v>
      </c>
      <c r="Y29" s="109"/>
      <c r="Z29" s="110"/>
      <c r="AA29" s="111"/>
      <c r="AB29" s="117" t="b">
        <v>0</v>
      </c>
      <c r="AC29" s="118"/>
      <c r="AD29" s="4"/>
      <c r="AE29" s="4"/>
      <c r="AF29" s="4"/>
      <c r="AG29" s="4"/>
    </row>
    <row r="30" spans="1:33" s="2" customFormat="1" ht="15" customHeight="1" x14ac:dyDescent="0.3">
      <c r="A30" s="44">
        <f t="shared" si="0"/>
        <v>0</v>
      </c>
      <c r="B30" s="45"/>
      <c r="C30" s="54"/>
      <c r="D30" s="235"/>
      <c r="E30" s="235"/>
      <c r="F30" s="235"/>
      <c r="G30" s="235"/>
      <c r="H30" s="235"/>
      <c r="I30" s="47">
        <f t="array" ref="I30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21)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0" s="123"/>
      <c r="L30" s="121"/>
      <c r="M30" s="121"/>
      <c r="O30" s="90">
        <f t="shared" ref="O30" si="32">IF(V30=0,COUNTA(P30:Q30),ISTEXT(VLOOKUP(P30,$I$9:$I$34,1,FALSE))*COUNTA(P30)+1+COUNTA(R30)+CHOOSE(V30,(T30&lt;FinalTime)*COUNTA(T30)+2,(T30&lt;FinalTime)*COUNTA(T30)+(U30&lt;=FinalTime)*(U30&gt;T30)*COUNTA(U30)+1,COUNTA(S30)+(T30&lt;FinalTime)*COUNTA(T30)+(U30&lt;=FinalTime)*(U30&gt;T30)*COUNTA(U30)))</f>
        <v>0</v>
      </c>
      <c r="P30" s="101"/>
      <c r="Q30" s="102"/>
      <c r="R30" s="103"/>
      <c r="S30" s="104"/>
      <c r="T30" s="103"/>
      <c r="U30" s="103"/>
      <c r="V30" s="95">
        <f t="shared" si="8"/>
        <v>0</v>
      </c>
      <c r="W30" s="96">
        <f>IFERROR(INDEX(LoadVariablesNames,MATCH(0,INDEX(COUNTIF($W$16:W29,LoadVariablesNames),,),)),0)</f>
        <v>0</v>
      </c>
      <c r="X30" s="73">
        <f t="shared" ref="X30" si="33">NOT(AND(ISNA(VLOOKUP(Y30,ModelVariablesNames,1,FALSE)),NOT(ISBLANK(Y30))))*COUNTA(Y30)+COUNTA(AA30)+0.5*AB30</f>
        <v>0</v>
      </c>
      <c r="Y30" s="109"/>
      <c r="Z30" s="110"/>
      <c r="AA30" s="111"/>
      <c r="AB30" s="117" t="b">
        <v>0</v>
      </c>
      <c r="AC30" s="118"/>
      <c r="AD30" s="97" t="s">
        <v>51</v>
      </c>
      <c r="AE30" s="57"/>
      <c r="AF30" s="58"/>
      <c r="AG30" s="59"/>
    </row>
    <row r="31" spans="1:33" s="2" customFormat="1" ht="15" customHeight="1" x14ac:dyDescent="0.25">
      <c r="A31" s="44">
        <f t="shared" si="0"/>
        <v>0</v>
      </c>
      <c r="B31" s="45"/>
      <c r="C31" s="54"/>
      <c r="D31" s="235"/>
      <c r="E31" s="235"/>
      <c r="F31" s="235"/>
      <c r="G31" s="235"/>
      <c r="H31" s="235"/>
      <c r="I31" s="47">
        <f t="array" ref="I31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22)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K31" s="123"/>
      <c r="L31" s="121"/>
      <c r="M31" s="121"/>
      <c r="O31" s="90">
        <f t="shared" ref="O31" si="34">IF(V31=0,COUNTA(P31:Q31),ISTEXT(VLOOKUP(P31,$I$9:$I$34,1,FALSE))*COUNTA(P31)+1+COUNTA(R31)+CHOOSE(V31,(T31&lt;FinalTime)*COUNTA(T31)+2,(T31&lt;FinalTime)*COUNTA(T31)+(U31&lt;=FinalTime)*(U31&gt;T31)*COUNTA(U31)+1,COUNTA(S31)+(T31&lt;FinalTime)*COUNTA(T31)+(U31&lt;=FinalTime)*(U31&gt;T31)*COUNTA(U31)))</f>
        <v>0</v>
      </c>
      <c r="P31" s="101"/>
      <c r="Q31" s="102"/>
      <c r="R31" s="103"/>
      <c r="S31" s="104"/>
      <c r="T31" s="103"/>
      <c r="U31" s="103"/>
      <c r="V31" s="95">
        <f t="shared" si="8"/>
        <v>0</v>
      </c>
      <c r="W31" s="96">
        <f>IFERROR(INDEX(LoadVariablesNames,MATCH(0,INDEX(COUNTIF($W$16:W30,LoadVariablesNames),,),)),0)</f>
        <v>0</v>
      </c>
      <c r="X31" s="73">
        <f t="shared" ref="X31" si="35">NOT(AND(ISNA(VLOOKUP(Y31,ModelVariablesNames,1,FALSE)),NOT(ISBLANK(Y31))))*COUNTA(Y31)+COUNTA(AA31)+0.5*AB31</f>
        <v>0</v>
      </c>
      <c r="Y31" s="109"/>
      <c r="Z31" s="110"/>
      <c r="AA31" s="111"/>
      <c r="AB31" s="117" t="b">
        <v>0</v>
      </c>
      <c r="AC31" s="118"/>
      <c r="AD31" s="65" t="s">
        <v>52</v>
      </c>
      <c r="AE31" s="57"/>
      <c r="AF31" s="58"/>
      <c r="AG31" s="124" t="b">
        <f>COUNTIF(AG33:AG45,"=PRAVDA")=COUNTA(AG33:AG45)</f>
        <v>1</v>
      </c>
    </row>
    <row r="32" spans="1:33" s="2" customFormat="1" ht="15" customHeight="1" thickBot="1" x14ac:dyDescent="0.3">
      <c r="A32" s="44">
        <f t="shared" si="0"/>
        <v>0</v>
      </c>
      <c r="B32" s="45"/>
      <c r="C32" s="54"/>
      <c r="D32" s="251"/>
      <c r="E32" s="251"/>
      <c r="F32" s="251"/>
      <c r="G32" s="251"/>
      <c r="H32" s="251"/>
      <c r="I32" s="47">
        <f t="array" ref="I32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2" s="36"/>
      <c r="K32" s="125"/>
      <c r="L32" s="121"/>
      <c r="M32" s="121"/>
      <c r="N32" s="36"/>
      <c r="O32" s="90">
        <f t="shared" ref="O32" si="36">IF(V32=0,COUNTA(P32:Q32),ISTEXT(VLOOKUP(P32,$I$9:$I$34,1,FALSE))*COUNTA(P32)+1+COUNTA(R32)+CHOOSE(V32,(T32&lt;FinalTime)*COUNTA(T32)+2,(T32&lt;FinalTime)*COUNTA(T32)+(U32&lt;=FinalTime)*(U32&gt;T32)*COUNTA(U32)+1,COUNTA(S32)+(T32&lt;FinalTime)*COUNTA(T32)+(U32&lt;=FinalTime)*(U32&gt;T32)*COUNTA(U32)))</f>
        <v>0</v>
      </c>
      <c r="P32" s="101"/>
      <c r="Q32" s="102"/>
      <c r="R32" s="103"/>
      <c r="S32" s="104"/>
      <c r="T32" s="103"/>
      <c r="U32" s="103"/>
      <c r="V32" s="95">
        <f t="shared" si="8"/>
        <v>0</v>
      </c>
      <c r="W32" s="96">
        <f>IFERROR(INDEX(LoadVariablesNames,MATCH(0,INDEX(COUNTIF($W$16:W31,LoadVariablesNames),,),)),0)</f>
        <v>0</v>
      </c>
      <c r="X32" s="73">
        <f t="shared" ref="X32" si="37">NOT(AND(ISNA(VLOOKUP(Y32,ModelVariablesNames,1,FALSE)),NOT(ISBLANK(Y32))))*COUNTA(Y32)+COUNTA(AA32)+0.5*AB32</f>
        <v>0</v>
      </c>
      <c r="Y32" s="109"/>
      <c r="Z32" s="110"/>
      <c r="AA32" s="111"/>
      <c r="AB32" s="117" t="b">
        <v>0</v>
      </c>
      <c r="AC32" s="118"/>
      <c r="AD32" s="106" t="str">
        <f>A7</f>
        <v>MODEL</v>
      </c>
      <c r="AE32" s="57"/>
      <c r="AF32" s="58"/>
      <c r="AG32" s="126"/>
    </row>
    <row r="33" spans="1:33" s="2" customFormat="1" ht="15" customHeight="1" x14ac:dyDescent="0.25">
      <c r="A33" s="44">
        <f t="shared" si="0"/>
        <v>0</v>
      </c>
      <c r="B33" s="45"/>
      <c r="C33" s="54"/>
      <c r="D33" s="251"/>
      <c r="E33" s="251"/>
      <c r="F33" s="251"/>
      <c r="G33" s="251"/>
      <c r="H33" s="251"/>
      <c r="I33" s="47">
        <f t="array" ref="I33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24)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3" s="36"/>
      <c r="K33" s="121"/>
      <c r="L33" s="121"/>
      <c r="M33" s="121"/>
      <c r="N33" s="36"/>
      <c r="O33" s="90">
        <f t="shared" ref="O33" si="38">IF(V33=0,COUNTA(P33:Q33),ISTEXT(VLOOKUP(P33,$I$9:$I$34,1,FALSE))*COUNTA(P33)+1+COUNTA(R33)+CHOOSE(V33,(T33&lt;FinalTime)*COUNTA(T33)+2,(T33&lt;FinalTime)*COUNTA(T33)+(U33&lt;=FinalTime)*(U33&gt;T33)*COUNTA(U33)+1,COUNTA(S33)+(T33&lt;FinalTime)*COUNTA(T33)+(U33&lt;=FinalTime)*(U33&gt;T33)*COUNTA(U33)))</f>
        <v>0</v>
      </c>
      <c r="P33" s="101"/>
      <c r="Q33" s="102"/>
      <c r="R33" s="103"/>
      <c r="S33" s="104"/>
      <c r="T33" s="103"/>
      <c r="U33" s="103"/>
      <c r="V33" s="95">
        <f t="shared" si="8"/>
        <v>0</v>
      </c>
      <c r="W33" s="96">
        <f>IFERROR(INDEX(LoadVariablesNames,MATCH(0,INDEX(COUNTIF($W$16:W32,LoadVariablesNames),,),)),0)</f>
        <v>0</v>
      </c>
      <c r="X33" s="73">
        <f t="shared" ref="X33" si="39">NOT(AND(ISNA(VLOOKUP(Y33,ModelVariablesNames,1,FALSE)),NOT(ISBLANK(Y33))))*COUNTA(Y33)+COUNTA(AA33)+0.5*AB33</f>
        <v>0</v>
      </c>
      <c r="Y33" s="109"/>
      <c r="Z33" s="110"/>
      <c r="AA33" s="111"/>
      <c r="AB33" s="117" t="b">
        <v>0</v>
      </c>
      <c r="AC33" s="118"/>
      <c r="AD33" s="39"/>
      <c r="AE33" s="40" t="str">
        <f>A8</f>
        <v>Model Variables and Constants</v>
      </c>
      <c r="AF33" s="41"/>
      <c r="AG33" s="112" t="b">
        <f>AND(COUNTIF($A$10:$A$34,"=2")&gt;0,COUNTIF($A$10:$A$34,"=1")=0)</f>
        <v>1</v>
      </c>
    </row>
    <row r="34" spans="1:33" s="2" customFormat="1" ht="15" customHeight="1" thickBot="1" x14ac:dyDescent="0.3">
      <c r="A34" s="44">
        <f t="shared" si="0"/>
        <v>0</v>
      </c>
      <c r="B34" s="236"/>
      <c r="C34" s="127"/>
      <c r="D34" s="262"/>
      <c r="E34" s="262"/>
      <c r="F34" s="262"/>
      <c r="G34" s="262"/>
      <c r="H34" s="262"/>
      <c r="I34" s="47">
        <f t="array" ref="I34">IFERROR(INDEX(ModelVariablesNames,MATCH(SMALL(IF(ISBLANK(ModelVariablesNames),"",IF(ISNUMBER(ModelVariablesNames),COUNTIF(ModelVariablesNames,"&lt;"&amp;ModelVariablesNames),COUNTIF(ModelVariablesNames,"&lt;"&amp;ModelVariablesNames)+SUM(IF(ISNUMBER(ModelVariablesNames),1,0))+1)),ROW(A23)),IF(ISBLANK(ModelVariablesNames),"",IF(ISNUMBER(ModelVariablesNames),COUNTIF(ModelVariablesNames,"&lt;"&amp;ModelVariablesNames),COUNTIF(ModelVariablesNames,"&lt;"&amp;ModelVariablesNames)+SUM(IF(ISNUMBER(ModelVariablesNames),1,0))+1)),0)),)</f>
        <v>0</v>
      </c>
      <c r="J34" s="36"/>
      <c r="K34" s="123"/>
      <c r="L34" s="121"/>
      <c r="M34" s="121"/>
      <c r="N34" s="36"/>
      <c r="O34" s="90">
        <f t="shared" ref="O34" si="40">IF(V34=0,COUNTA(P34:Q34),ISTEXT(VLOOKUP(P34,$I$9:$I$34,1,FALSE))*COUNTA(P34)+1+COUNTA(R34)+CHOOSE(V34,(T34&lt;FinalTime)*COUNTA(T34)+2,(T34&lt;FinalTime)*COUNTA(T34)+(U34&lt;=FinalTime)*(U34&gt;T34)*COUNTA(U34)+1,COUNTA(S34)+(T34&lt;FinalTime)*COUNTA(T34)+(U34&lt;=FinalTime)*(U34&gt;T34)*COUNTA(U34)))</f>
        <v>0</v>
      </c>
      <c r="P34" s="128"/>
      <c r="Q34" s="129"/>
      <c r="R34" s="130"/>
      <c r="S34" s="131"/>
      <c r="T34" s="130"/>
      <c r="U34" s="130"/>
      <c r="V34" s="95">
        <f t="shared" si="8"/>
        <v>0</v>
      </c>
      <c r="W34" s="96">
        <f>IFERROR(INDEX(LoadVariablesNames,MATCH(0,INDEX(COUNTIF($W$16:W33,LoadVariablesNames),,),)),0)</f>
        <v>0</v>
      </c>
      <c r="X34" s="73">
        <f t="shared" ref="X34" si="41">NOT(AND(ISNA(VLOOKUP(Y34,ModelVariablesNames,1,FALSE)),NOT(ISBLANK(Y34))))*COUNTA(Y34)+COUNTA(AA34)+0.5*AB34</f>
        <v>0</v>
      </c>
      <c r="Y34" s="132"/>
      <c r="Z34" s="133"/>
      <c r="AA34" s="134"/>
      <c r="AB34" s="117" t="b">
        <v>0</v>
      </c>
      <c r="AC34" s="118"/>
      <c r="AD34" s="39"/>
      <c r="AE34" s="113" t="str">
        <f>A36</f>
        <v>Model First-order ODEs</v>
      </c>
      <c r="AF34" s="114"/>
      <c r="AG34" s="115" t="b">
        <f>AND(COUNTIF($A$38:$A$47,"=2")&gt;0,COUNTIF($A$38:$A$47,"=1")=0)</f>
        <v>1</v>
      </c>
    </row>
    <row r="35" spans="1:33" s="2" customFormat="1" ht="15" customHeight="1" x14ac:dyDescent="0.25">
      <c r="A35" s="135"/>
      <c r="B35" s="62"/>
      <c r="C35" s="62"/>
      <c r="D35" s="62"/>
      <c r="E35" s="136"/>
      <c r="F35" s="62"/>
      <c r="G35" s="136"/>
      <c r="H35" s="62"/>
      <c r="I35" s="62"/>
      <c r="J35" s="36"/>
      <c r="K35" s="121"/>
      <c r="L35" s="121"/>
      <c r="M35" s="121"/>
      <c r="N35" s="36"/>
      <c r="O35" s="79"/>
      <c r="P35" s="79"/>
      <c r="R35" s="137"/>
      <c r="S35" s="137"/>
      <c r="T35" s="137"/>
      <c r="U35" s="137"/>
      <c r="X35" s="138"/>
      <c r="Y35" s="138"/>
      <c r="Z35" s="138"/>
      <c r="AA35" s="138"/>
      <c r="AB35" s="138"/>
      <c r="AC35" s="118"/>
      <c r="AD35" s="116" t="str">
        <f>J7</f>
        <v>REGULATORY LOOP</v>
      </c>
      <c r="AE35" s="57"/>
      <c r="AF35" s="58"/>
      <c r="AG35" s="115"/>
    </row>
    <row r="36" spans="1:33" s="2" customFormat="1" ht="15" customHeight="1" thickBot="1" x14ac:dyDescent="0.3">
      <c r="A36" s="31" t="s">
        <v>53</v>
      </c>
      <c r="B36" s="69"/>
      <c r="C36" s="79"/>
      <c r="D36" s="79"/>
      <c r="E36" s="79"/>
      <c r="F36" s="79"/>
      <c r="G36" s="79"/>
      <c r="H36" s="79"/>
      <c r="I36" s="36"/>
      <c r="J36" s="36"/>
      <c r="K36" s="121"/>
      <c r="L36" s="121"/>
      <c r="M36" s="121"/>
      <c r="N36" s="36"/>
      <c r="O36" s="31" t="s">
        <v>54</v>
      </c>
      <c r="P36" s="70"/>
      <c r="R36" s="137"/>
      <c r="S36" s="137"/>
      <c r="T36" s="137"/>
      <c r="U36" s="137"/>
      <c r="X36" s="69" t="s">
        <v>57</v>
      </c>
      <c r="Y36" s="36"/>
      <c r="Z36" s="36"/>
      <c r="AA36" s="36"/>
      <c r="AC36" s="118"/>
      <c r="AD36" s="39"/>
      <c r="AE36" s="113" t="str">
        <f>J8</f>
        <v>Measuring Element (Zero-order System)</v>
      </c>
      <c r="AF36" s="114"/>
      <c r="AG36" s="115" t="b">
        <f>SUM($J$9:$J$11)=3</f>
        <v>1</v>
      </c>
    </row>
    <row r="37" spans="1:33" s="2" customFormat="1" ht="15" customHeight="1" thickBot="1" x14ac:dyDescent="0.3">
      <c r="A37" s="31"/>
      <c r="B37" s="238" t="s">
        <v>55</v>
      </c>
      <c r="C37" s="32" t="s">
        <v>10</v>
      </c>
      <c r="D37" s="238" t="s">
        <v>56</v>
      </c>
      <c r="E37" s="238"/>
      <c r="F37" s="238"/>
      <c r="G37" s="238"/>
      <c r="H37" s="238"/>
      <c r="I37" s="36"/>
      <c r="J37" s="36"/>
      <c r="K37" s="121"/>
      <c r="L37" s="121"/>
      <c r="M37" s="121"/>
      <c r="N37" s="36"/>
      <c r="O37" s="69"/>
      <c r="P37" s="139" t="s">
        <v>9</v>
      </c>
      <c r="R37" s="140"/>
      <c r="S37" s="137"/>
      <c r="T37" s="137"/>
      <c r="U37" s="137"/>
      <c r="X37" s="89"/>
      <c r="Y37" s="238" t="s">
        <v>9</v>
      </c>
      <c r="Z37" s="63" t="s">
        <v>25</v>
      </c>
      <c r="AA37" s="64" t="s">
        <v>26</v>
      </c>
      <c r="AB37" s="160"/>
      <c r="AC37" s="118"/>
      <c r="AD37" s="39"/>
      <c r="AE37" s="113" t="str">
        <f>J13</f>
        <v>Controller</v>
      </c>
      <c r="AF37" s="114"/>
      <c r="AG37" s="115" t="b">
        <f>AND(SUM(J14:J16,J18)=4,IF(Action="",FALSE,CHOOSE(N18,COUNTA(r0)=1,COUNTA(r0,Ti)=2,COUNTA(r0,Td)=2,COUNTA(r0,Ti,Td)=3)))</f>
        <v>1</v>
      </c>
    </row>
    <row r="38" spans="1:33" s="2" customFormat="1" ht="15" customHeight="1" x14ac:dyDescent="0.25">
      <c r="A38" s="141">
        <f t="shared" ref="A38" si="42">AND(COUNTA(B38),COUNTIF(ModelODEsVariables,B38)=1)+COUNTA(C38)</f>
        <v>2</v>
      </c>
      <c r="B38" s="142" t="s">
        <v>85</v>
      </c>
      <c r="C38" s="143">
        <f>C12/C13*(C10-C11)+C14*C15/C13/C16/C17</f>
        <v>0</v>
      </c>
      <c r="D38" s="144" t="str">
        <f>IFERROR([1]!SYMBOLIC(C38,$B$10:$C$34),"")</f>
        <v>=F/V*(T1-T2)+P*eta/V/ro/cp</v>
      </c>
      <c r="E38" s="144"/>
      <c r="F38" s="145"/>
      <c r="G38" s="145"/>
      <c r="H38" s="145"/>
      <c r="I38" s="47" t="str">
        <f t="array" ref="I38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1)),IF(ISBLANK(ModelODEsVariables),"",IF(ISNUMBER(ModelODEsVariables),COUNTIF(ModelODEsVariables,"&lt;"&amp;ModelODEsVariables),COUNTIF(ModelODEsVariables,"&lt;"&amp;ModelODEsVariables)+SUM(IF(ISNUMBER(ModelODEsVariables),1,0))+1)),0)),)</f>
        <v>T2</v>
      </c>
      <c r="J38" s="36"/>
      <c r="K38" s="121"/>
      <c r="L38" s="121"/>
      <c r="M38" s="121"/>
      <c r="N38" s="36"/>
      <c r="O38" s="146">
        <f t="shared" ref="O38" si="43">IF(OR(COUNTA(P38)=0,COUNTIF(OutputVariables,P38)&gt;1,ISNA(VLOOKUP(P38,ModelVariablesTable,1,FALSE))),0,1)</f>
        <v>1</v>
      </c>
      <c r="P38" s="147" t="s">
        <v>85</v>
      </c>
      <c r="Q38" s="148" t="str">
        <f t="array" ref="Q38">IFERROR(INDEX($I$10:$I$47,MATCH(0,COUNTIF($Q$37:Q37,$I$10:$I$47)+IF(COUNTIF($I$10:$I$47,$I$10:$I$47)&gt;1,0,1),0)),0)</f>
        <v>T2</v>
      </c>
      <c r="R38" s="140"/>
      <c r="S38" s="137"/>
      <c r="T38" s="149"/>
      <c r="U38" s="149"/>
      <c r="V38" s="121"/>
      <c r="W38" s="121"/>
      <c r="X38" s="162">
        <f>COUNTA(Y38)+COUNTA(AA38)+0.5*AB38</f>
        <v>2</v>
      </c>
      <c r="Y38" s="163" t="s">
        <v>33</v>
      </c>
      <c r="Z38" s="164"/>
      <c r="AA38" s="76">
        <v>2</v>
      </c>
      <c r="AB38" s="77" t="b">
        <v>0</v>
      </c>
      <c r="AD38" s="39"/>
      <c r="AE38" s="113" t="str">
        <f>J23</f>
        <v>Final Control Element (Zero-order System)</v>
      </c>
      <c r="AF38" s="114"/>
      <c r="AG38" s="115" t="b">
        <f>IF(SUM($J$24:$J$26)=3,TRUE,FALSE)</f>
        <v>1</v>
      </c>
    </row>
    <row r="39" spans="1:33" s="2" customFormat="1" ht="15" customHeight="1" x14ac:dyDescent="0.25">
      <c r="A39" s="141">
        <f t="shared" ref="A39" si="44">AND(COUNTA(B39),COUNTIF(ModelODEsVariables,B39)=1)+COUNTA(C39)</f>
        <v>0</v>
      </c>
      <c r="B39" s="150"/>
      <c r="C39" s="143"/>
      <c r="D39" s="144" t="str">
        <f>IFERROR([1]!SYMBOLIC(C39,$B$10:$C$34),"")</f>
        <v/>
      </c>
      <c r="E39" s="151"/>
      <c r="F39" s="152"/>
      <c r="G39" s="152"/>
      <c r="H39" s="152"/>
      <c r="I39" s="47">
        <f t="array" ref="I39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2)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39" s="36"/>
      <c r="K39" s="121"/>
      <c r="L39" s="121"/>
      <c r="M39" s="121"/>
      <c r="N39" s="36"/>
      <c r="O39" s="146">
        <f t="shared" ref="O39" si="45">IF(OR(COUNTA(P39)=0,COUNTIF(OutputVariables,P39)&gt;1,ISNA(VLOOKUP(P39,ModelVariablesTable,1,FALSE))),0,1)</f>
        <v>0</v>
      </c>
      <c r="P39" s="153"/>
      <c r="Q39" s="148">
        <f t="array" ref="Q39">IFERROR(INDEX($I$10:$I$47,MATCH(0,COUNTIF($Q$37:Q38,$I$10:$I$47)+IF(COUNTIF($I$10:$I$47,$I$10:$I$47)&gt;1,0,1),0)),0)</f>
        <v>0</v>
      </c>
      <c r="R39" s="140"/>
      <c r="S39" s="137"/>
      <c r="T39" s="149"/>
      <c r="U39" s="149"/>
      <c r="V39" s="121"/>
      <c r="W39" s="121"/>
      <c r="X39" s="162">
        <f>COUNTA(Y39)+COUNTA(AA39)+0.5*AB39</f>
        <v>2</v>
      </c>
      <c r="Y39" s="165" t="s">
        <v>110</v>
      </c>
      <c r="Z39" s="166"/>
      <c r="AA39" s="84">
        <v>3</v>
      </c>
      <c r="AB39" s="77" t="b">
        <v>0</v>
      </c>
      <c r="AD39" s="116" t="str">
        <f>O7</f>
        <v>SIMULATION</v>
      </c>
      <c r="AE39" s="57"/>
      <c r="AF39" s="58"/>
      <c r="AG39" s="115"/>
    </row>
    <row r="40" spans="1:33" s="2" customFormat="1" ht="15" customHeight="1" thickBot="1" x14ac:dyDescent="0.3">
      <c r="A40" s="141">
        <f t="shared" ref="A40" si="46">AND(COUNTA(B40),COUNTIF(ModelODEsVariables,B40)=1)+COUNTA(C40)</f>
        <v>0</v>
      </c>
      <c r="B40" s="150"/>
      <c r="C40" s="143"/>
      <c r="D40" s="144" t="str">
        <f>IFERROR([1]!SYMBOLIC(C40,$B$10:$C$34),"")</f>
        <v/>
      </c>
      <c r="E40" s="151"/>
      <c r="F40" s="152"/>
      <c r="G40" s="152"/>
      <c r="H40" s="152"/>
      <c r="I40" s="47">
        <f t="array" ref="I40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3)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0" s="36"/>
      <c r="K40" s="121"/>
      <c r="L40" s="121"/>
      <c r="M40" s="121"/>
      <c r="N40" s="36"/>
      <c r="O40" s="146">
        <f t="shared" ref="O40" si="47">IF(OR(COUNTA(P40)=0,COUNTIF(OutputVariables,P40)&gt;1,ISNA(VLOOKUP(P40,ModelVariablesTable,1,FALSE))),0,1)</f>
        <v>0</v>
      </c>
      <c r="P40" s="153"/>
      <c r="Q40" s="148">
        <f t="array" ref="Q40">IFERROR(INDEX($I$10:$I$47,MATCH(0,COUNTIF($Q$37:Q39,$I$10:$I$47)+IF(COUNTIF($I$10:$I$47,$I$10:$I$47)&gt;1,0,1),0)),0)</f>
        <v>0</v>
      </c>
      <c r="R40" s="140"/>
      <c r="S40" s="137"/>
      <c r="T40" s="149"/>
      <c r="U40" s="149"/>
      <c r="V40" s="121"/>
      <c r="W40" s="121"/>
      <c r="X40" s="162">
        <f>COUNTA(Y40)+COUNTA(AA40)+0.5*AB40</f>
        <v>0</v>
      </c>
      <c r="Y40" s="167"/>
      <c r="Z40" s="168"/>
      <c r="AA40" s="134"/>
      <c r="AB40" s="77" t="b">
        <v>0</v>
      </c>
      <c r="AD40" s="39"/>
      <c r="AE40" s="113" t="str">
        <f>O8</f>
        <v>Integration Parameters</v>
      </c>
      <c r="AF40" s="114"/>
      <c r="AG40" s="115" t="b">
        <f>SUM($O$9:$O$12)=4</f>
        <v>1</v>
      </c>
    </row>
    <row r="41" spans="1:33" s="2" customFormat="1" ht="15" customHeight="1" x14ac:dyDescent="0.25">
      <c r="A41" s="141">
        <f t="shared" ref="A41" si="48">AND(COUNTA(B41),COUNTIF(ModelODEsVariables,B41)=1)+COUNTA(C41)</f>
        <v>0</v>
      </c>
      <c r="B41" s="150"/>
      <c r="C41" s="143"/>
      <c r="D41" s="144" t="str">
        <f>IFERROR([1]!SYMBOLIC(C41,$B$10:$C$34),"")</f>
        <v/>
      </c>
      <c r="E41" s="151"/>
      <c r="F41" s="152"/>
      <c r="G41" s="152"/>
      <c r="H41" s="152"/>
      <c r="I41" s="47">
        <f t="array" ref="I41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4)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1" s="36"/>
      <c r="K41" s="121"/>
      <c r="L41" s="121"/>
      <c r="M41" s="121"/>
      <c r="N41" s="36"/>
      <c r="O41" s="146">
        <f t="shared" ref="O41" si="49">IF(OR(COUNTA(P41)=0,COUNTIF(OutputVariables,P41)&gt;1,ISNA(VLOOKUP(P41,ModelVariablesTable,1,FALSE))),0,1)</f>
        <v>0</v>
      </c>
      <c r="P41" s="153"/>
      <c r="Q41" s="148">
        <f t="array" ref="Q41">IFERROR(INDEX($I$10:$I$47,MATCH(0,COUNTIF($Q$37:Q40,$I$10:$I$47)+IF(COUNTIF($I$10:$I$47,$I$10:$I$47)&gt;1,0,1),0)),0)</f>
        <v>0</v>
      </c>
      <c r="R41" s="140"/>
      <c r="S41" s="137"/>
      <c r="T41" s="149"/>
      <c r="U41" s="149"/>
      <c r="V41" s="121"/>
      <c r="W41" s="121"/>
      <c r="AD41" s="39"/>
      <c r="AE41" s="113" t="str">
        <f>O14</f>
        <v>Disturbances / Set Point Changes</v>
      </c>
      <c r="AF41" s="114"/>
      <c r="AG41" s="119" t="b">
        <f>OR(SUM($O$17:$O$34)=0,COUNTIFS($O$17:$O$34,"&gt;0",$O$17:$O$34,"&lt;6")=0)</f>
        <v>1</v>
      </c>
    </row>
    <row r="42" spans="1:33" s="2" customFormat="1" ht="15" customHeight="1" x14ac:dyDescent="0.25">
      <c r="A42" s="141">
        <f t="shared" ref="A42" si="50">AND(COUNTA(B42),COUNTIF(ModelODEsVariables,B42)=1)+COUNTA(C42)</f>
        <v>0</v>
      </c>
      <c r="B42" s="150"/>
      <c r="C42" s="143"/>
      <c r="D42" s="144" t="str">
        <f>IFERROR([1]!SYMBOLIC(C42,$B$10:$C$34),"")</f>
        <v/>
      </c>
      <c r="E42" s="151"/>
      <c r="F42" s="152"/>
      <c r="G42" s="152"/>
      <c r="H42" s="152"/>
      <c r="I42" s="47">
        <f t="array" ref="I42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5)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2" s="36"/>
      <c r="K42" s="121"/>
      <c r="L42" s="121"/>
      <c r="M42" s="121"/>
      <c r="N42" s="36"/>
      <c r="O42" s="146">
        <f t="shared" ref="O42" si="51">IF(OR(COUNTA(P42)=0,COUNTIF(OutputVariables,P42)&gt;1,ISNA(VLOOKUP(P42,ModelVariablesTable,1,FALSE))),0,1)</f>
        <v>0</v>
      </c>
      <c r="P42" s="153"/>
      <c r="Q42" s="148">
        <f t="array" ref="Q42">IFERROR(INDEX($I$10:$I$47,MATCH(0,COUNTIF($Q$37:Q41,$I$10:$I$47)+IF(COUNTIF($I$10:$I$47,$I$10:$I$47)&gt;1,0,1),0)),0)</f>
        <v>0</v>
      </c>
      <c r="R42" s="140"/>
      <c r="S42" s="137"/>
      <c r="T42" s="149"/>
      <c r="U42" s="149"/>
      <c r="V42" s="121"/>
      <c r="W42" s="121"/>
      <c r="AD42" s="39"/>
      <c r="AE42" s="113" t="str">
        <f>O36</f>
        <v>Output Variables</v>
      </c>
      <c r="AF42" s="114"/>
      <c r="AG42" s="119" t="b">
        <f>SUM($O$38:$O$47)&gt;0</f>
        <v>1</v>
      </c>
    </row>
    <row r="43" spans="1:33" s="2" customFormat="1" ht="15" customHeight="1" x14ac:dyDescent="0.25">
      <c r="A43" s="141">
        <f t="shared" ref="A43" si="52">AND(COUNTA(B43),COUNTIF(ModelODEsVariables,B43)=1)+COUNTA(C43)</f>
        <v>0</v>
      </c>
      <c r="B43" s="150"/>
      <c r="C43" s="143"/>
      <c r="D43" s="144" t="str">
        <f>IFERROR([1]!SYMBOLIC(C43,$B$10:$C$34),"")</f>
        <v/>
      </c>
      <c r="E43" s="151"/>
      <c r="F43" s="152"/>
      <c r="G43" s="152"/>
      <c r="H43" s="152"/>
      <c r="I43" s="47">
        <f t="array" ref="I43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6)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3" s="36"/>
      <c r="K43" s="121"/>
      <c r="L43" s="121"/>
      <c r="M43" s="121"/>
      <c r="N43" s="36"/>
      <c r="O43" s="146">
        <f t="shared" ref="O43" si="53">IF(OR(COUNTA(P43)=0,COUNTIF(OutputVariables,P43)&gt;1,ISNA(VLOOKUP(P43,ModelVariablesTable,1,FALSE))),0,1)</f>
        <v>0</v>
      </c>
      <c r="P43" s="153"/>
      <c r="Q43" s="148">
        <f t="array" ref="Q43">IFERROR(INDEX($I$10:$I$47,MATCH(0,COUNTIF($Q$37:Q42,$I$10:$I$47)+IF(COUNTIF($I$10:$I$47,$I$10:$I$47)&gt;1,0,1),0)),0)</f>
        <v>0</v>
      </c>
      <c r="R43" s="140"/>
      <c r="S43" s="137"/>
      <c r="T43" s="149"/>
      <c r="U43" s="149"/>
      <c r="V43" s="121"/>
      <c r="W43" s="121"/>
      <c r="AD43" s="39"/>
      <c r="AE43" s="113" t="str">
        <f>X11</f>
        <v>Model Variables in Charts</v>
      </c>
      <c r="AF43" s="114"/>
      <c r="AG43" s="119" t="b">
        <f>AND(COUNTIF($X$13:$X$35,"=0,5")=0,COUNTIF($X$13:$X$35,"=1")=0,COUNTIF($X$13:$X$35,"=1,5")=0)</f>
        <v>1</v>
      </c>
    </row>
    <row r="44" spans="1:33" s="2" customFormat="1" ht="15" customHeight="1" x14ac:dyDescent="0.25">
      <c r="A44" s="141">
        <f t="shared" ref="A44" si="54">AND(COUNTA(B44),COUNTIF(ModelODEsVariables,B44)=1)+COUNTA(C44)</f>
        <v>0</v>
      </c>
      <c r="B44" s="150"/>
      <c r="C44" s="143"/>
      <c r="D44" s="144" t="str">
        <f>IFERROR([1]!SYMBOLIC(C44,$B$10:$C$34),"")</f>
        <v/>
      </c>
      <c r="E44" s="151"/>
      <c r="F44" s="152"/>
      <c r="G44" s="152"/>
      <c r="H44" s="152"/>
      <c r="I44" s="47">
        <f t="array" ref="I44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7)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4" s="36"/>
      <c r="K44" s="121"/>
      <c r="L44" s="121"/>
      <c r="M44" s="121"/>
      <c r="N44" s="36"/>
      <c r="O44" s="146">
        <f t="shared" ref="O44" si="55">IF(OR(COUNTA(P44)=0,COUNTIF(OutputVariables,P44)&gt;1,ISNA(VLOOKUP(P44,ModelVariablesTable,1,FALSE))),0,1)</f>
        <v>0</v>
      </c>
      <c r="P44" s="153"/>
      <c r="Q44" s="148">
        <f t="array" ref="Q44">IFERROR(INDEX($I$10:$I$47,MATCH(0,COUNTIF($Q$37:Q43,$I$10:$I$47)+IF(COUNTIF($I$10:$I$47,$I$10:$I$47)&gt;1,0,1),0)),0)</f>
        <v>0</v>
      </c>
      <c r="R44" s="140"/>
      <c r="S44" s="137"/>
      <c r="T44" s="149"/>
      <c r="U44" s="149"/>
      <c r="V44" s="121"/>
      <c r="W44" s="121"/>
      <c r="AD44" s="4"/>
      <c r="AE44" s="113" t="str">
        <f>X8</f>
        <v>Charts Parameters</v>
      </c>
      <c r="AF44" s="114"/>
      <c r="AG44" s="119" t="b">
        <f>OR(SUM($X$13:$X$35,$X$38:$X$40)=0,AND(OR(SUM($X$13:$X$35)&gt;0,SUM($X$38:$X$40)&gt;0),$X$9=1))</f>
        <v>1</v>
      </c>
    </row>
    <row r="45" spans="1:33" s="2" customFormat="1" ht="15" customHeight="1" thickBot="1" x14ac:dyDescent="0.3">
      <c r="A45" s="141">
        <f t="shared" ref="A45" si="56">AND(COUNTA(B45),COUNTIF(ModelODEsVariables,B45)=1)+COUNTA(C45)</f>
        <v>0</v>
      </c>
      <c r="B45" s="150"/>
      <c r="C45" s="143"/>
      <c r="D45" s="144" t="str">
        <f>IFERROR([1]!SYMBOLIC(C45,$B$10:$C$34),"")</f>
        <v/>
      </c>
      <c r="E45" s="151"/>
      <c r="F45" s="152"/>
      <c r="G45" s="152"/>
      <c r="H45" s="152"/>
      <c r="I45" s="47">
        <f t="array" ref="I45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8)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5" s="36"/>
      <c r="K45" s="121"/>
      <c r="L45" s="121"/>
      <c r="M45" s="121"/>
      <c r="N45" s="36"/>
      <c r="O45" s="146">
        <f t="shared" ref="O45" si="57">IF(OR(COUNTA(P45)=0,COUNTIF(OutputVariables,P45)&gt;1,ISNA(VLOOKUP(P45,ModelVariablesTable,1,FALSE))),0,1)</f>
        <v>0</v>
      </c>
      <c r="P45" s="153"/>
      <c r="Q45" s="148">
        <f t="array" ref="Q45">IFERROR(INDEX($I$10:$I$47,MATCH(0,COUNTIF($Q$37:Q44,$I$10:$I$47)+IF(COUNTIF($I$10:$I$47,$I$10:$I$47)&gt;1,0,1),0)),0)</f>
        <v>0</v>
      </c>
      <c r="R45" s="140"/>
      <c r="S45" s="137"/>
      <c r="T45" s="149"/>
      <c r="U45" s="149"/>
      <c r="V45" s="121"/>
      <c r="W45" s="121"/>
      <c r="AD45" s="39"/>
      <c r="AE45" s="51" t="str">
        <f>X36</f>
        <v>Regulatory Loop Variables in Charts</v>
      </c>
      <c r="AF45" s="52"/>
      <c r="AG45" s="122" t="b">
        <f>AND(COUNTIF($X$38:$X$40,"=0,5")=0,COUNTIF($X$38:$X$40,"=1")=0,COUNTIF($X$38:$X$40,"=1,5")=0)</f>
        <v>1</v>
      </c>
    </row>
    <row r="46" spans="1:33" s="2" customFormat="1" ht="15" customHeight="1" x14ac:dyDescent="0.25">
      <c r="A46" s="141">
        <f t="shared" ref="A46" si="58">AND(COUNTA(B46),COUNTIF(ModelODEsVariables,B46)=1)+COUNTA(C46)</f>
        <v>0</v>
      </c>
      <c r="B46" s="150"/>
      <c r="C46" s="143"/>
      <c r="D46" s="144" t="str">
        <f>IFERROR([1]!SYMBOLIC(C46,$B$10:$C$34),"")</f>
        <v/>
      </c>
      <c r="E46" s="151"/>
      <c r="F46" s="152"/>
      <c r="G46" s="152"/>
      <c r="H46" s="152"/>
      <c r="I46" s="47">
        <f t="array" ref="I46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9)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6" s="36"/>
      <c r="K46" s="121"/>
      <c r="L46" s="121"/>
      <c r="M46" s="121"/>
      <c r="N46" s="36"/>
      <c r="O46" s="146">
        <f t="shared" ref="O46" si="59">IF(OR(COUNTA(P46)=0,COUNTIF(OutputVariables,P46)&gt;1,ISNA(VLOOKUP(P46,ModelVariablesTable,1,FALSE))),0,1)</f>
        <v>0</v>
      </c>
      <c r="P46" s="153"/>
      <c r="Q46" s="148">
        <f t="array" ref="Q46">IFERROR(INDEX($I$10:$I$47,MATCH(0,COUNTIF($Q$37:Q45,$I$10:$I$47)+IF(COUNTIF($I$10:$I$47,$I$10:$I$47)&gt;1,0,1),0)),0)</f>
        <v>0</v>
      </c>
      <c r="R46" s="140"/>
      <c r="S46" s="137"/>
      <c r="T46" s="149"/>
      <c r="U46" s="149"/>
      <c r="V46" s="121"/>
      <c r="W46" s="121"/>
      <c r="AD46" s="4"/>
      <c r="AE46" s="4"/>
      <c r="AF46" s="4"/>
      <c r="AG46" s="4"/>
    </row>
    <row r="47" spans="1:33" s="2" customFormat="1" ht="15" customHeight="1" thickBot="1" x14ac:dyDescent="0.3">
      <c r="A47" s="141">
        <f t="shared" ref="A47" si="60">AND(COUNTA(B47),COUNTIF(ModelODEsVariables,B47)=1)+COUNTA(C47)</f>
        <v>0</v>
      </c>
      <c r="B47" s="154"/>
      <c r="C47" s="155"/>
      <c r="D47" s="156" t="str">
        <f>IFERROR([1]!SYMBOLIC(C47,$B$10:$C$34),"")</f>
        <v/>
      </c>
      <c r="E47" s="156"/>
      <c r="F47" s="157"/>
      <c r="G47" s="157"/>
      <c r="H47" s="157"/>
      <c r="I47" s="47">
        <f t="array" ref="I47">IFERROR(INDEX(ModelODEsVariables,MATCH(SMALL(IF(ISBLANK(ModelODEsVariables),"",IF(ISNUMBER(ModelODEsVariables),COUNTIF(ModelODEsVariables,"&lt;"&amp;ModelODEsVariables),COUNTIF(ModelODEsVariables,"&lt;"&amp;ModelODEsVariables)+SUM(IF(ISNUMBER(ModelODEsVariables),1,0))+1)),ROW(A10)),IF(ISBLANK(ModelODEsVariables),"",IF(ISNUMBER(ModelODEsVariables),COUNTIF(ModelODEsVariables,"&lt;"&amp;ModelODEsVariables),COUNTIF(ModelODEsVariables,"&lt;"&amp;ModelODEsVariables)+SUM(IF(ISNUMBER(ModelODEsVariables),1,0))+1)),0)),)</f>
        <v>0</v>
      </c>
      <c r="J47" s="36"/>
      <c r="K47" s="121"/>
      <c r="L47" s="121"/>
      <c r="M47" s="121"/>
      <c r="N47" s="36"/>
      <c r="O47" s="146">
        <f t="shared" ref="O47" si="61">IF(OR(COUNTA(P47)=0,COUNTIF(OutputVariables,P47)&gt;1,ISNA(VLOOKUP(P47,ModelVariablesTable,1,FALSE))),0,1)</f>
        <v>0</v>
      </c>
      <c r="P47" s="158"/>
      <c r="Q47" s="148">
        <f t="array" ref="Q47">IFERROR(INDEX($I$10:$I$47,MATCH(0,COUNTIF($Q$37:Q46,$I$10:$I$47)+IF(COUNTIF($I$10:$I$47,$I$10:$I$47)&gt;1,0,1),0)),0)</f>
        <v>0</v>
      </c>
      <c r="R47" s="140"/>
      <c r="S47" s="137"/>
      <c r="T47" s="149"/>
      <c r="U47" s="149"/>
      <c r="V47" s="121"/>
      <c r="W47" s="121"/>
      <c r="AD47" s="58"/>
      <c r="AE47" s="58"/>
      <c r="AF47" s="58"/>
      <c r="AG47" s="159"/>
    </row>
    <row r="48" spans="1:33" s="2" customFormat="1" ht="15" customHeight="1" x14ac:dyDescent="0.25">
      <c r="AD48" s="4"/>
      <c r="AE48" s="4"/>
      <c r="AF48" s="4"/>
      <c r="AG48" s="4"/>
    </row>
    <row r="49" spans="1:33" s="2" customFormat="1" ht="15" customHeight="1" x14ac:dyDescent="0.25">
      <c r="AC49" s="160"/>
      <c r="AD49" s="4"/>
      <c r="AE49" s="4"/>
      <c r="AF49" s="4"/>
      <c r="AG49" s="4"/>
    </row>
    <row r="50" spans="1:33" s="2" customFormat="1" ht="15" customHeight="1" x14ac:dyDescent="0.25">
      <c r="B50" s="7"/>
      <c r="P50" s="161"/>
      <c r="R50" s="161"/>
      <c r="AC50" s="78"/>
      <c r="AD50" s="4"/>
      <c r="AE50" s="4"/>
      <c r="AF50" s="4"/>
      <c r="AG50" s="4"/>
    </row>
    <row r="51" spans="1:33" s="2" customFormat="1" ht="15" customHeight="1" x14ac:dyDescent="0.25">
      <c r="AC51" s="78"/>
      <c r="AD51" s="4"/>
      <c r="AE51" s="4"/>
      <c r="AF51" s="4"/>
      <c r="AG51" s="4"/>
    </row>
    <row r="52" spans="1:33" s="2" customFormat="1" ht="15" customHeight="1" x14ac:dyDescent="0.25">
      <c r="AC52" s="78"/>
      <c r="AD52" s="4"/>
      <c r="AE52" s="4"/>
      <c r="AF52" s="4"/>
      <c r="AG52" s="4"/>
    </row>
    <row r="53" spans="1:33" s="2" customFormat="1" ht="15" customHeight="1" x14ac:dyDescent="0.25">
      <c r="AD53" s="4"/>
      <c r="AE53" s="4"/>
      <c r="AF53" s="4"/>
      <c r="AG53" s="4"/>
    </row>
    <row r="54" spans="1:33" s="170" customFormat="1" ht="15" customHeight="1" x14ac:dyDescent="0.25">
      <c r="A54" s="169" t="s">
        <v>58</v>
      </c>
      <c r="X54" s="171"/>
      <c r="AD54" s="172"/>
      <c r="AE54" s="172"/>
      <c r="AF54" s="172"/>
      <c r="AG54" s="172"/>
    </row>
    <row r="55" spans="1:33" ht="13.5" customHeight="1" x14ac:dyDescent="0.25">
      <c r="B55" s="174"/>
    </row>
    <row r="56" spans="1:33" ht="13.5" customHeight="1" x14ac:dyDescent="0.25"/>
    <row r="57" spans="1:33" ht="13.5" customHeight="1" x14ac:dyDescent="0.25"/>
    <row r="58" spans="1:33" ht="13.5" customHeight="1" x14ac:dyDescent="0.25"/>
    <row r="59" spans="1:33" ht="13.5" customHeight="1" x14ac:dyDescent="0.25"/>
    <row r="60" spans="1:33" ht="13.5" customHeight="1" x14ac:dyDescent="0.25"/>
    <row r="61" spans="1:33" ht="13.5" customHeight="1" x14ac:dyDescent="0.25"/>
    <row r="62" spans="1:33" ht="13.5" customHeight="1" x14ac:dyDescent="0.25"/>
    <row r="63" spans="1:33" ht="13.5" customHeight="1" x14ac:dyDescent="0.25"/>
    <row r="64" spans="1:33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</sheetData>
  <sheetProtection algorithmName="SHA-512" hashValue="xaUQdZvgA1hlmoujq9NIelLuNiZ30ZZ3eopTGERGAzTTDYjY7xqqegBd5tWecggPgIm54GDWztBTv07p+J20BA==" saltValue="m/FCx8vYWwgu5dJP8kLe3Q==" spinCount="100000" sheet="1" objects="1" scenarios="1" selectLockedCells="1"/>
  <dataConsolidate/>
  <mergeCells count="73">
    <mergeCell ref="D32:E32"/>
    <mergeCell ref="F32:H32"/>
    <mergeCell ref="D33:E33"/>
    <mergeCell ref="F33:H33"/>
    <mergeCell ref="D34:E34"/>
    <mergeCell ref="F34:H34"/>
    <mergeCell ref="D27:E27"/>
    <mergeCell ref="F27:H27"/>
    <mergeCell ref="D28:E28"/>
    <mergeCell ref="F28:H28"/>
    <mergeCell ref="D29:E29"/>
    <mergeCell ref="F29:H29"/>
    <mergeCell ref="D24:E24"/>
    <mergeCell ref="F24:H24"/>
    <mergeCell ref="K24:L24"/>
    <mergeCell ref="D25:E25"/>
    <mergeCell ref="F25:H25"/>
    <mergeCell ref="K25:K26"/>
    <mergeCell ref="D26:E26"/>
    <mergeCell ref="F26:H26"/>
    <mergeCell ref="D23:E23"/>
    <mergeCell ref="F23:H23"/>
    <mergeCell ref="D19:E19"/>
    <mergeCell ref="F19:H19"/>
    <mergeCell ref="K19:L19"/>
    <mergeCell ref="D20:E20"/>
    <mergeCell ref="F20:H20"/>
    <mergeCell ref="K20:L20"/>
    <mergeCell ref="D21:E21"/>
    <mergeCell ref="F21:H21"/>
    <mergeCell ref="K21:L21"/>
    <mergeCell ref="D22:E22"/>
    <mergeCell ref="F22:H22"/>
    <mergeCell ref="D17:E17"/>
    <mergeCell ref="F17:H17"/>
    <mergeCell ref="K17:L17"/>
    <mergeCell ref="D18:E18"/>
    <mergeCell ref="F18:H18"/>
    <mergeCell ref="K18:L18"/>
    <mergeCell ref="P15:P16"/>
    <mergeCell ref="Q15:Q16"/>
    <mergeCell ref="R15:S15"/>
    <mergeCell ref="T15:U15"/>
    <mergeCell ref="D16:E16"/>
    <mergeCell ref="F16:H16"/>
    <mergeCell ref="K16:L16"/>
    <mergeCell ref="D14:E14"/>
    <mergeCell ref="F14:H14"/>
    <mergeCell ref="K14:L14"/>
    <mergeCell ref="D15:E15"/>
    <mergeCell ref="F15:H15"/>
    <mergeCell ref="K15:L15"/>
    <mergeCell ref="D12:E12"/>
    <mergeCell ref="F12:H12"/>
    <mergeCell ref="P12:Q12"/>
    <mergeCell ref="R12:S12"/>
    <mergeCell ref="D13:E13"/>
    <mergeCell ref="F13:H13"/>
    <mergeCell ref="D10:E10"/>
    <mergeCell ref="F10:H10"/>
    <mergeCell ref="K10:K11"/>
    <mergeCell ref="P10:Q10"/>
    <mergeCell ref="R10:S10"/>
    <mergeCell ref="D11:E11"/>
    <mergeCell ref="F11:H11"/>
    <mergeCell ref="P11:Q11"/>
    <mergeCell ref="R11:S11"/>
    <mergeCell ref="A1:XFD1"/>
    <mergeCell ref="F9:H9"/>
    <mergeCell ref="K9:L9"/>
    <mergeCell ref="P9:Q9"/>
    <mergeCell ref="R9:S9"/>
    <mergeCell ref="Z9:AA9"/>
  </mergeCells>
  <conditionalFormatting sqref="P38:P47">
    <cfRule type="expression" dxfId="31" priority="31">
      <formula>AND(OR(ISNA(VLOOKUP(P38,ModelVariablesNames,1,FALSE)),COUNTIF(OutputVariables,P38)&gt;1),NOT(ISBLANK(P38)))</formula>
    </cfRule>
  </conditionalFormatting>
  <conditionalFormatting sqref="B10:B34">
    <cfRule type="expression" dxfId="30" priority="30">
      <formula>COUNTIF(ModelVariablesNames,$B10)&gt;1</formula>
    </cfRule>
  </conditionalFormatting>
  <conditionalFormatting sqref="B38:B47">
    <cfRule type="expression" dxfId="29" priority="28">
      <formula>AND(COUNTIF(ModelODEsVariables,B38)&gt;1,NOT(ISBLANK(B38)))</formula>
    </cfRule>
    <cfRule type="expression" dxfId="28" priority="29">
      <formula>AND(ISNA(VLOOKUP(B38,ModelVariablesNames,1,FALSE)),NOT(ISBLANK(B38)))</formula>
    </cfRule>
  </conditionalFormatting>
  <conditionalFormatting sqref="K20:L20">
    <cfRule type="expression" dxfId="27" priority="27">
      <formula>OR(Action="P",Action="PD")</formula>
    </cfRule>
  </conditionalFormatting>
  <conditionalFormatting sqref="K21:L21">
    <cfRule type="expression" dxfId="26" priority="26">
      <formula>OR(Action="P",Action="PI")</formula>
    </cfRule>
  </conditionalFormatting>
  <conditionalFormatting sqref="M20">
    <cfRule type="expression" dxfId="25" priority="25">
      <formula>OR(Action="P",Action="PD")</formula>
    </cfRule>
  </conditionalFormatting>
  <conditionalFormatting sqref="M21">
    <cfRule type="expression" dxfId="24" priority="24">
      <formula>OR(Action="P",Action="PI")</formula>
    </cfRule>
  </conditionalFormatting>
  <conditionalFormatting sqref="AG31 AG33:AG34 AG18 AG20:AG21 AG23:AG27 AG36:AG38 AG40:AG45">
    <cfRule type="expression" dxfId="23" priority="23">
      <formula>AG18=FALSE</formula>
    </cfRule>
  </conditionalFormatting>
  <conditionalFormatting sqref="C10:C14 C16:C34">
    <cfRule type="expression" dxfId="22" priority="22">
      <formula>ISTEXT(C10)</formula>
    </cfRule>
  </conditionalFormatting>
  <conditionalFormatting sqref="C38:C47">
    <cfRule type="expression" dxfId="21" priority="20">
      <formula>OR(ISERROR(C38),ISTEXT(C38))</formula>
    </cfRule>
    <cfRule type="expression" dxfId="20" priority="21">
      <formula>ABS(C38)&gt;SteadyStateAccuracy</formula>
    </cfRule>
  </conditionalFormatting>
  <conditionalFormatting sqref="M9">
    <cfRule type="expression" dxfId="19" priority="19">
      <formula>AND(ISNA(VLOOKUP(MeasuredVariable,ModelVariablesNames,1,FALSE)),NOT(ISBLANK(MeasuredVariable)))</formula>
    </cfRule>
  </conditionalFormatting>
  <conditionalFormatting sqref="M14">
    <cfRule type="expression" dxfId="18" priority="18">
      <formula>AND(ISNA(VLOOKUP(ControlledVariable,ModelVariablesNames,1,FALSE)),NOT(ISBLANK(ControlledVariable)))</formula>
    </cfRule>
  </conditionalFormatting>
  <conditionalFormatting sqref="M24">
    <cfRule type="expression" dxfId="17" priority="17">
      <formula>AND(ISNA(VLOOKUP(ManipulatedVariable,ModelVariablesNames,1,FALSE)),NOT(ISBLANK(ManipulatedVariable)))</formula>
    </cfRule>
  </conditionalFormatting>
  <conditionalFormatting sqref="M15">
    <cfRule type="expression" dxfId="16" priority="16">
      <formula>(ABS(SetPoint-VLOOKUP(ControlledVariable,B10:C34,2,FALSE)))&gt;0</formula>
    </cfRule>
  </conditionalFormatting>
  <conditionalFormatting sqref="R11">
    <cfRule type="expression" dxfId="15" priority="15">
      <formula>AND(NOT(ISBLANK(FinalTime)),OR(NumSimulationValues&gt;MaxNumSimulatedValues,IntegrationStep&gt;=FinalTime))</formula>
    </cfRule>
  </conditionalFormatting>
  <conditionalFormatting sqref="M10">
    <cfRule type="expression" dxfId="14" priority="14">
      <formula>AND(NOT(ISBLANK(MeasuredVariable)),MeasuredVariableLower&gt;VLOOKUP(MeasuredVariable,$B$10:$C$34,2,FALSE))</formula>
    </cfRule>
  </conditionalFormatting>
  <conditionalFormatting sqref="M11">
    <cfRule type="expression" dxfId="13" priority="13">
      <formula>AND(NOT(ISBLANK(MeasuredVariable)),MeasuredVariableHigher&lt;VLOOKUP(MeasuredVariable,$B$10:$C$34,2,FALSE))</formula>
    </cfRule>
  </conditionalFormatting>
  <conditionalFormatting sqref="M25">
    <cfRule type="expression" dxfId="12" priority="12">
      <formula>AND(NOT(ISBLANK(ManipulatedVariable)),ManipulatedVariableLower&gt;VLOOKUP(ManipulatedVariable,ModelVariablesTable,2,FALSE))</formula>
    </cfRule>
  </conditionalFormatting>
  <conditionalFormatting sqref="M26">
    <cfRule type="expression" dxfId="11" priority="11">
      <formula>AND(NOT(ISBLANK(ManipulatedVariable)),ManipulatedVariableHigher&lt;VLOOKUP(ManipulatedVariable,ModelVariablesTable,2,FALSE))</formula>
    </cfRule>
  </conditionalFormatting>
  <conditionalFormatting sqref="R9">
    <cfRule type="expression" dxfId="10" priority="10">
      <formula>NOT(ISERR(FIND("|",TimeUnit)))</formula>
    </cfRule>
  </conditionalFormatting>
  <conditionalFormatting sqref="P17:P34">
    <cfRule type="expression" dxfId="9" priority="9">
      <formula>AND(ISNA(VLOOKUP(P17,ModelVariablesNames,1,FALSE)),P17&lt;&gt;$I$9,NOT(ISBLANK(P17)))</formula>
    </cfRule>
  </conditionalFormatting>
  <conditionalFormatting sqref="R17:R34 T17:T34">
    <cfRule type="expression" dxfId="8" priority="8">
      <formula>COUNTA($Q17)=1</formula>
    </cfRule>
  </conditionalFormatting>
  <conditionalFormatting sqref="S17:S34">
    <cfRule type="expression" dxfId="7" priority="7">
      <formula>Q17="Sinus"</formula>
    </cfRule>
  </conditionalFormatting>
  <conditionalFormatting sqref="U17:U34">
    <cfRule type="expression" dxfId="6" priority="4" stopIfTrue="1">
      <formula>IF(OR(Q17="step",ISBLANK(U17)),FALSE,OR(U17&lt;0,U17&gt;FinalTime))</formula>
    </cfRule>
    <cfRule type="expression" dxfId="5" priority="5" stopIfTrue="1">
      <formula>IF(OR(Q17="step",Q17=""),FALSE,AND(COUNTA(U17)=1,U17&lt;=T17))</formula>
    </cfRule>
    <cfRule type="expression" dxfId="4" priority="6">
      <formula>OR(Q17="Ramp",Q17="Sinus")</formula>
    </cfRule>
  </conditionalFormatting>
  <conditionalFormatting sqref="T17:U34">
    <cfRule type="expression" dxfId="3" priority="3">
      <formula>TRUNC(T17/IntegrationStep,0)&lt;&gt;T17/IntegrationStep</formula>
    </cfRule>
  </conditionalFormatting>
  <conditionalFormatting sqref="T17:T34">
    <cfRule type="expression" dxfId="2" priority="2" stopIfTrue="1">
      <formula>IF(ISBLANK(T17),FALSE,OR(T17&lt;0,T17&gt;=FinalTime))</formula>
    </cfRule>
  </conditionalFormatting>
  <conditionalFormatting sqref="Y13:Y34">
    <cfRule type="expression" dxfId="1" priority="1">
      <formula>AND(ISNA(VLOOKUP(Y13,ModelVariablesNames,1,FALSE)),NOT(ISBLANK(Y13)))</formula>
    </cfRule>
  </conditionalFormatting>
  <dataValidations count="34">
    <dataValidation type="custom" showInputMessage="1" showErrorMessage="1" errorTitle="Disturbances / Set Point Changes" error="Time is not inserted because_x000a_- it is not a number,_x000a_- final time of simulation has not been inserted,_x000a_- it is greater then final time of simulation." promptTitle="Disturbances / Set Point Changes" prompt="Insert time of change." sqref="T17">
      <formula1>AND(FinalTime&gt;0,$T$17&gt;0,$T$17&lt;FinalTime)=TRUE</formula1>
    </dataValidation>
    <dataValidation type="custom" showInputMessage="1" showErrorMessage="1" errorTitle="Disturbances / Set Point Changes" error="Size is not inserted because it is not a non-zero number." promptTitle="Disturbances / Set Point Changes" prompt="Insert size of change." sqref="R17">
      <formula1>$R$17&lt;&gt;0</formula1>
    </dataValidation>
    <dataValidation type="list" showInputMessage="1" showErrorMessage="1" errorTitle="Model Variables in Charts" error="Do not insert chart number from keyboard, select it from dropdown list." promptTitle="Model Variables in Charts" prompt="Select chart number in which you want to see time serie of model variable." sqref="AA13:AA34">
      <formula1>"1,2,3,4,5,6"</formula1>
    </dataValidation>
    <dataValidation type="list" allowBlank="1" showInputMessage="1" showErrorMessage="1" errorTitle="Charts Parameters" error="Do not insert location from keyboard, select it from dropdown list." promptTitle="Charts Parameters" prompt="Select location fo simulation charts." sqref="Z9:AA9">
      <formula1>"Embedded on report sheet, Separated chart sheet(s)"</formula1>
    </dataValidation>
    <dataValidation type="list" showInputMessage="1" showErrorMessage="1" errorTitle="Model Variables in Charts" error="Do not insert variable from keyboard, select it from dropdown list." promptTitle="Model Variables in Charts" prompt="Select (or insert cell reference to) model variable which you want to see in chart." sqref="Y13:Y34">
      <formula1>OFFSET($I$10,MATCH($I$10,$I$10:$I$34,0)-1,0,SUMPRODUCT(--ISTEXT($I$10:$I$34)),1)</formula1>
    </dataValidation>
    <dataValidation type="custom" operator="greaterThan" showInputMessage="1" showErrorMessage="1" errorTitle="Integration Parameters" error="Time is not inserted because it is not a positive number." promptTitle="Integration Parameters" prompt="Insert final time of simulation." sqref="R10:S10">
      <formula1>NOT(OR(FinalTime&lt;=0,NOT(ISNUMBER(FinalTime))))</formula1>
    </dataValidation>
    <dataValidation type="custom" showInputMessage="1" showErrorMessage="1" errorTitle="Integration Parameters" error="Integration step is not inserted because_x000a_- it is not a positive number,_x000a_- final time has not been inserted,_x000a_- it is greater then final time,_x000a_- it is too small and so simulated values exceed 6 000 values per variable." promptTitle="Integration Parameters" prompt="Insert time step of selected integration method." sqref="R11:S11">
      <formula1>NOT(OR(NumSimulationValues=-1,IntegrationStep&lt;=0,IntegrationStep&gt;FinalTime,NumSimulationValues&gt;MaxNumSimulatedValues))</formula1>
    </dataValidation>
    <dataValidation type="list" showInputMessage="1" showErrorMessage="1" errorTitle="Disturbances / Set Point Changes" error="Do not insert type of change from keyboard, select it from dropdown list." promptTitle="Disturbances / Set Point Changes" prompt="Select type of change." sqref="Q17:Q34">
      <formula1>"step,ramp,sinus"</formula1>
    </dataValidation>
    <dataValidation type="list" showInputMessage="1" showErrorMessage="1" errorTitle="Disturbances / Set Point Changes" error="Do not insert variable from keyboard, select it from dropdown list." promptTitle="Disturbances / Set Point Changes" prompt="Select load variable or set point." sqref="P17:P34">
      <formula1>IF($A$6="Model",OFFSET($I$10,MATCH($I$10,$I$10:$I$34,0)-1,0,SUMPRODUCT(--ISTEXT($I$10:$I$34)),1),OFFSET($I$9,MATCH($I$10,$I$10:$I$34,0)-1,0,SUMPRODUCT(--ISTEXT($I$10:$I$34))+1,1))</formula1>
    </dataValidation>
    <dataValidation type="custom" operator="greaterThan" allowBlank="1" showInputMessage="1" showErrorMessage="1" errorTitle="Model Variables" error="Signification cannot be inserted because_x000a_- it is not a string_x000a_- it is reserved for internal variable_x000a_- it is already defined in the model" promptTitle="Model Variables" prompt="Insert signification of process variable or material property." sqref="B10:B34">
      <formula1>AND(ISTEXT(B10),B10&lt;&gt;"time",COUNTIF($B$10:$B$34,B10)=1)</formula1>
    </dataValidation>
    <dataValidation type="custom" allowBlank="1" showInputMessage="1" showErrorMessage="1" errorTitle="Model Variables" error="Unit cannot be inserted because it is not string." promptTitle="Model Variables" prompt="Insert physical unit of process variable or material property." sqref="D10:D34 E12:E33">
      <formula1>ISTEXT(D10)</formula1>
    </dataValidation>
    <dataValidation type="custom" allowBlank="1" showInputMessage="1" showErrorMessage="1" errorTitle="Model Variables" error="Description cannot be inserted because it is not a string." promptTitle="Model Variables" prompt="Insert description of process variable or material property." sqref="F10:F34 G12:H34">
      <formula1>ISTEXT(F10)</formula1>
    </dataValidation>
    <dataValidation type="custom" allowBlank="1" showInputMessage="1" showErrorMessage="1" errorTitle="Model Variables" error="Value cannot be inserted because it is not a number." promptTitle="Model Variables" prompt="Insert Excel formula or value of process variable or material property." sqref="C10:C34">
      <formula1>ISNUMBER(C10)</formula1>
    </dataValidation>
    <dataValidation type="custom" showInputMessage="1" showErrorMessage="1" errorTitle="Final Control Element" error="Limit cannot be inserted because_x000a_- it is not a number_x000a_- it is less then value in process steady state." promptTitle="Final Control Element" prompt="Insert upper limit of adjustment." sqref="M26">
      <formula1>AND(ISNUMBER(ManipulatedVariableHigher),ManipulatedVariableHigher&gt;ManipulatedVariableLower,ManipulatedVariableHigher&gt;=VLOOKUP(ManipulatedVariable,ModelVariablesTable,2,FALSE))</formula1>
    </dataValidation>
    <dataValidation type="custom" showInputMessage="1" showErrorMessage="1" errorTitle="Final Control Element" error="Limit cannot be inserted because_x000a_- it is not a number_x000a_- it is greater then value in process steady state." promptTitle="Final Control Element" prompt="Insert lower limit of adjustment." sqref="M25">
      <formula1>AND(ISNUMBER(ManipulatedVariableLower),ManipulatedVariableLower&lt;=VLOOKUP(ManipulatedVariable,ModelVariablesTable,2,FALSE))</formula1>
    </dataValidation>
    <dataValidation type="list" showInputMessage="1" showErrorMessage="1" errorTitle="Final Control Element" error="Do not insert variable from keyboard, select it from dropdown list." promptTitle="Final Control Element" prompt="Select process variable which is adjusted to maintain the controlled variable at the set point." sqref="M24">
      <formula1>OFFSET($I$10,MATCH($I$10,$I$10:$I$34,0)-1,0,SUMPRODUCT(--ISTEXT($I$10:$I$34)),1)</formula1>
    </dataValidation>
    <dataValidation type="list" showInputMessage="1" showErrorMessage="1" errorTitle="Controller" error="Do not insert variable from keyboard, select it from dropdown list." promptTitle="Controller" prompt="Select process variable which is controlled." sqref="M14">
      <formula1>OFFSET($I$10,MATCH($I$10,$I$10:$I$34,0)-1,0,SUMPRODUCT(--ISTEXT($I$10:$I$34)),1)</formula1>
    </dataValidation>
    <dataValidation type="custom" showInputMessage="1" showErrorMessage="1" errorTitle="Measuring Element" error="Limit cannot be inserted because_x000a_- it is not a number_x000a_- it is greater then value in process steady state." promptTitle="Measuring Element" prompt="Insert lower limit of measurement." sqref="M10">
      <formula1>AND(ISNUMBER(MeasuredVariableLower),MeasuredVariableLower&lt;=VLOOKUP(MeasuredVariable,ModelVariablesTable,2,FALSE))</formula1>
    </dataValidation>
    <dataValidation type="custom" showInputMessage="1" showErrorMessage="1" errorTitle="Controller" error="Set point cannot be inserted because it is not a number." promptTitle="Controller" prompt="Insert desired value of controlled variable." sqref="M15">
      <formula1>ISNUMBER(M15)</formula1>
    </dataValidation>
    <dataValidation type="list" showInputMessage="1" showErrorMessage="1" errorTitle="Integration Parameters" error="Do not insert method from keyboard, select it from dropdown list." promptTitle="Integration Parameters" prompt="Select integration method for solving model first-order ODEs." sqref="R12:S12">
      <formula1>"Euler"</formula1>
    </dataValidation>
    <dataValidation type="custom" allowBlank="1" showInputMessage="1" showErrorMessage="1" sqref="H36">
      <formula1>"jevzorec(G32)"</formula1>
    </dataValidation>
    <dataValidation type="list" showInputMessage="1" showErrorMessage="1" errorTitle="Controller" error="Do not insert type from keyboard, select it from dropdown list." promptTitle="Controller" prompt="Select type of action." sqref="M18">
      <formula1>"P,PI,PD,PID"</formula1>
    </dataValidation>
    <dataValidation type="list" showInputMessage="1" showErrorMessage="1" errorTitle="Controller" error="Do not insert mode from keyboard, select it from dropdown list." promptTitle="Controller" prompt="Select mode of action:_x000a_- If controller output tends to increase (+) when controlled variable is increasing (+), select direct mode._x000a_- If controller output tends to decrease (–) when controlled variable is increasing (+), select reverse mode." sqref="M16">
      <formula1>"Direct,Reverse"</formula1>
    </dataValidation>
    <dataValidation type="list" showInputMessage="1" showErrorMessage="1" errorTitle="Output Variables" error="Do not insert variable from keyboard, select it from dropdown list." promptTitle="Output Variables" prompt="Select process variable which responses to disturbances or set point changes." sqref="P38:P47">
      <formula1>OFFSET($Q$38,MATCH($Q$38,$Q$38:$Q$47,0)-1,0,SUMPRODUCT(--ISTEXT($Q$38:$Q$47)),1)</formula1>
    </dataValidation>
    <dataValidation type="custom" showInputMessage="1" showErrorMessage="1" errorTitle="Controller" error="Gain is not inserted because_x000a_- it is not a non-negative real number,_x000a_- it is out of limits &lt;0, 1E+32&gt;." promptTitle="Controller" prompt="Insert derivative time constant of the same time unit which occurs in model." sqref="M21">
      <formula1>NOT(OR(Td&lt;DerivationConstantLowerLimit,Td&gt;DerivationConstantHigherLimit))</formula1>
    </dataValidation>
    <dataValidation type="custom" showInputMessage="1" showErrorMessage="1" errorTitle="Controller" error="Gain is not inserted because_x000a_- it is not a positive real number,_x000a_- it is out of limits (0, 1E+32&gt;." promptTitle="Controller" prompt="Insert integral time constant of the same time unit which occurs in the model." sqref="M20">
      <formula1>NOT(OR(Ti&lt;=IntegrationConstantLowerLimit,Ti&gt;IntegrationConstantHigherLimit))</formula1>
    </dataValidation>
    <dataValidation type="custom" showInputMessage="1" showErrorMessage="1" errorTitle="Controller" error="Gain is not inserted because_x000a_- it is not a positive integer,_x000a_- it is out of limits (0, 50&gt;." promptTitle="Controller" prompt="Insert proportional gain." sqref="M19">
      <formula1>NOT(OR(r0&lt;=GainLowerLimit,r0&gt;GainHigherLimit))</formula1>
    </dataValidation>
    <dataValidation type="custom" showInputMessage="1" showErrorMessage="1" errorTitle="Measuring Element" error="Limit cannot be inserted because_x000a_- it is not a number_x000a_- it is less then lower limit_x000a_- it is less then value in process steady state." promptTitle="Measuring Element" prompt="Insert upper limit of measurement." sqref="M11">
      <formula1>AND(ISNUMBER(MeasuredVariableHigher),MeasuredVariableHigher&gt;MeasuredVariableLower,MeasuredVariableHigher&gt;=VLOOKUP(MeasuredVariable,ModelVariablesTable,2,FALSE))</formula1>
    </dataValidation>
    <dataValidation type="list" errorStyle="warning" operator="lessThanOrEqual" showInputMessage="1" showErrorMessage="1" errorTitle="Model First-order ODEs" error="You are inserting variable which is not in the model._x000a_This is probably due to a system of the 1st ODEs. " promptTitle="Model First-order ODEs" prompt="Select (or insert cell reference to) process variable of which the first derivative occurs in the model first-order ODE." sqref="B38:B47">
      <formula1>OFFSET($I$10,MATCH($I$10,$I$10:$I$34,0)-1,0,SUMPRODUCT(--ISTEXT($I$10:$I$34)),1)</formula1>
    </dataValidation>
    <dataValidation type="list" showInputMessage="1" showErrorMessage="1" errorTitle="Measuring Element" error="Do not insert variable from keyboard, select it from dropdown list." promptTitle="Measuring Element" prompt="Select process variable which is measured." sqref="M9">
      <formula1>OFFSET($I$10,MATCH($I$10,$I$10:$I$34,0)-1,0,SUMPRODUCT(--ISTEXT($I$10:$I$34)),1)</formula1>
    </dataValidation>
    <dataValidation type="list" showInputMessage="1" showErrorMessage="1" errorTitle="Loop Variables in Charts" error="Do not insert variable from keyboard, select it from dropdown list." promptTitle="Loop Variables in Charts" prompt="Select regulatory loop variable of which time serie you want to see in chart." sqref="Y38:Y40">
      <formula1>"Set Point,Error,Controller Output"</formula1>
    </dataValidation>
    <dataValidation type="list" allowBlank="1" showInputMessage="1" showErrorMessage="1" errorTitle="Loop Variables in Charts" error="Do not insert chart number from keyboard, select it from dropdown list." promptTitle="Loop Variables in Charts" prompt="Select chart number in which you want to see time serie of variable." sqref="AA38:AA40">
      <formula1>"1,2,3,4,5,6"</formula1>
    </dataValidation>
    <dataValidation type="custom" allowBlank="1" showInputMessage="1" showErrorMessage="1" errorTitle="Model First-order ODEs" error="Formula cannot be inserted because_x000a_- it returns an error,_x000a_- it does not contain references to model variables or constants values." promptTitle="Model First-order ODEs" prompt="Insert Excel formula which calculates derivative of process variable (i.e. right-hand side of first-order ODE)._x000a__x000a_Note: For time as model variable use name &quot;time&quot;." sqref="C38:C47">
      <formula1>D38&lt;&gt;""</formula1>
    </dataValidation>
    <dataValidation type="list" showInputMessage="1" showErrorMessage="1" errorTitle="Integration Parameters" error="Do not insert unit from keyboard, select it from dropdown list." promptTitle="Integration Parameters" prompt="Select time unit of simulation._x000a__x000a_Note: It must be the same as unit which occurs in the model." sqref="R9:S9">
      <formula1>"ms,s,min,h"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econdaryAxis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11</xdr:row>
                    <xdr:rowOff>180975</xdr:rowOff>
                  </from>
                  <to>
                    <xdr:col>25</xdr:col>
                    <xdr:colOff>628650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SecondaryAxis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12</xdr:row>
                    <xdr:rowOff>180975</xdr:rowOff>
                  </from>
                  <to>
                    <xdr:col>25</xdr:col>
                    <xdr:colOff>628650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SecondaryAxis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13</xdr:row>
                    <xdr:rowOff>180975</xdr:rowOff>
                  </from>
                  <to>
                    <xdr:col>25</xdr:col>
                    <xdr:colOff>628650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SecondaryAxis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14</xdr:row>
                    <xdr:rowOff>180975</xdr:rowOff>
                  </from>
                  <to>
                    <xdr:col>25</xdr:col>
                    <xdr:colOff>628650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SecondaryAxis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15</xdr:row>
                    <xdr:rowOff>180975</xdr:rowOff>
                  </from>
                  <to>
                    <xdr:col>25</xdr:col>
                    <xdr:colOff>628650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SecondaryAxis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16</xdr:row>
                    <xdr:rowOff>180975</xdr:rowOff>
                  </from>
                  <to>
                    <xdr:col>25</xdr:col>
                    <xdr:colOff>628650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SecondaryAxis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17</xdr:row>
                    <xdr:rowOff>180975</xdr:rowOff>
                  </from>
                  <to>
                    <xdr:col>25</xdr:col>
                    <xdr:colOff>628650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SecondaryAxis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18</xdr:row>
                    <xdr:rowOff>180975</xdr:rowOff>
                  </from>
                  <to>
                    <xdr:col>25</xdr:col>
                    <xdr:colOff>628650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SecondaryAxis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19</xdr:row>
                    <xdr:rowOff>180975</xdr:rowOff>
                  </from>
                  <to>
                    <xdr:col>25</xdr:col>
                    <xdr:colOff>628650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SecondaryAxis1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20</xdr:row>
                    <xdr:rowOff>180975</xdr:rowOff>
                  </from>
                  <to>
                    <xdr:col>25</xdr:col>
                    <xdr:colOff>628650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SecondaryAxis1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21</xdr:row>
                    <xdr:rowOff>180975</xdr:rowOff>
                  </from>
                  <to>
                    <xdr:col>25</xdr:col>
                    <xdr:colOff>628650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SecondaryAxis1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22</xdr:row>
                    <xdr:rowOff>180975</xdr:rowOff>
                  </from>
                  <to>
                    <xdr:col>25</xdr:col>
                    <xdr:colOff>628650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SecondaryAxis1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23</xdr:row>
                    <xdr:rowOff>180975</xdr:rowOff>
                  </from>
                  <to>
                    <xdr:col>25</xdr:col>
                    <xdr:colOff>628650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SecondaryAxis1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24</xdr:row>
                    <xdr:rowOff>180975</xdr:rowOff>
                  </from>
                  <to>
                    <xdr:col>25</xdr:col>
                    <xdr:colOff>628650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SecondaryAxis1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25</xdr:row>
                    <xdr:rowOff>180975</xdr:rowOff>
                  </from>
                  <to>
                    <xdr:col>25</xdr:col>
                    <xdr:colOff>628650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SecondaryAxis16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26</xdr:row>
                    <xdr:rowOff>180975</xdr:rowOff>
                  </from>
                  <to>
                    <xdr:col>25</xdr:col>
                    <xdr:colOff>628650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SecondaryAxis17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27</xdr:row>
                    <xdr:rowOff>180975</xdr:rowOff>
                  </from>
                  <to>
                    <xdr:col>25</xdr:col>
                    <xdr:colOff>628650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SecondaryAxis18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28</xdr:row>
                    <xdr:rowOff>180975</xdr:rowOff>
                  </from>
                  <to>
                    <xdr:col>25</xdr:col>
                    <xdr:colOff>628650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SecondaryAxis19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29</xdr:row>
                    <xdr:rowOff>180975</xdr:rowOff>
                  </from>
                  <to>
                    <xdr:col>25</xdr:col>
                    <xdr:colOff>628650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SecondaryAxis20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30</xdr:row>
                    <xdr:rowOff>180975</xdr:rowOff>
                  </from>
                  <to>
                    <xdr:col>25</xdr:col>
                    <xdr:colOff>628650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SecondaryAxis21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31</xdr:row>
                    <xdr:rowOff>180975</xdr:rowOff>
                  </from>
                  <to>
                    <xdr:col>25</xdr:col>
                    <xdr:colOff>628650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SecondaryAxis22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32</xdr:row>
                    <xdr:rowOff>180975</xdr:rowOff>
                  </from>
                  <to>
                    <xdr:col>25</xdr:col>
                    <xdr:colOff>628650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SecondaryAxis23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36</xdr:row>
                    <xdr:rowOff>180975</xdr:rowOff>
                  </from>
                  <to>
                    <xdr:col>25</xdr:col>
                    <xdr:colOff>628650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SecondaryAxis24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37</xdr:row>
                    <xdr:rowOff>180975</xdr:rowOff>
                  </from>
                  <to>
                    <xdr:col>25</xdr:col>
                    <xdr:colOff>628650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SecondaryAxis25">
              <controlPr defaultSize="0" autoFill="0" autoLine="0" autoPict="0" altText="">
                <anchor moveWithCells="1">
                  <from>
                    <xdr:col>25</xdr:col>
                    <xdr:colOff>323850</xdr:colOff>
                    <xdr:row>38</xdr:row>
                    <xdr:rowOff>180975</xdr:rowOff>
                  </from>
                  <to>
                    <xdr:col>25</xdr:col>
                    <xdr:colOff>628650</xdr:colOff>
                    <xdr:row>40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SICREPORT1">
    <tabColor rgb="FF99FFCC"/>
  </sheetPr>
  <dimension ref="A1:AZ633"/>
  <sheetViews>
    <sheetView showGridLines="0" zoomScaleNormal="100" workbookViewId="0">
      <selection activeCell="C11" sqref="C11"/>
    </sheetView>
  </sheetViews>
  <sheetFormatPr defaultRowHeight="15" x14ac:dyDescent="0.25"/>
  <cols>
    <col min="1" max="1" width="2.7109375" style="174" customWidth="1"/>
    <col min="2" max="7" width="12.7109375" style="174" customWidth="1"/>
    <col min="8" max="8" width="14.140625" style="174" bestFit="1" customWidth="1"/>
    <col min="9" max="11" width="12.7109375" style="174" customWidth="1"/>
    <col min="12" max="28" width="12.7109375" style="174" hidden="1" customWidth="1"/>
    <col min="29" max="29" width="4.7109375" style="174" customWidth="1"/>
    <col min="30" max="30" width="2.7109375" style="174" customWidth="1"/>
    <col min="31" max="31" width="18.7109375" style="174" customWidth="1"/>
    <col min="32" max="32" width="12.7109375" style="174" customWidth="1"/>
    <col min="33" max="41" width="12.7109375" style="174" hidden="1" customWidth="1"/>
    <col min="42" max="42" width="4.7109375" style="174" customWidth="1"/>
    <col min="43" max="43" width="2.7109375" style="174" customWidth="1"/>
    <col min="44" max="44" width="18.7109375" style="174" customWidth="1"/>
    <col min="45" max="48" width="12.7109375" style="174" customWidth="1"/>
    <col min="49" max="49" width="2.7109375" style="58" hidden="1" customWidth="1"/>
    <col min="50" max="51" width="20.7109375" style="58" hidden="1" customWidth="1"/>
    <col min="52" max="52" width="12.7109375" style="58" hidden="1" customWidth="1"/>
    <col min="53" max="16384" width="9.140625" style="174"/>
  </cols>
  <sheetData>
    <row r="1" spans="1:52" s="266" customFormat="1" ht="20.100000000000001" customHeight="1" x14ac:dyDescent="0.25">
      <c r="A1" s="266" t="s">
        <v>81</v>
      </c>
    </row>
    <row r="2" spans="1:52" ht="12.75" customHeight="1" x14ac:dyDescent="0.25">
      <c r="A2" s="176" t="s">
        <v>111</v>
      </c>
      <c r="B2" s="177"/>
      <c r="C2" s="177"/>
      <c r="D2" s="178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</row>
    <row r="3" spans="1:52" ht="12.75" customHeight="1" x14ac:dyDescent="0.25">
      <c r="A3" s="179" t="s">
        <v>114</v>
      </c>
      <c r="B3" s="177"/>
      <c r="C3" s="177"/>
      <c r="D3" s="178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</row>
    <row r="4" spans="1:52" ht="12.75" customHeight="1" x14ac:dyDescent="0.25">
      <c r="A4" s="180"/>
      <c r="B4" s="177"/>
      <c r="C4" s="177"/>
      <c r="D4" s="178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81"/>
      <c r="AU4" s="181"/>
    </row>
    <row r="5" spans="1:52" s="173" customFormat="1" ht="15" customHeight="1" x14ac:dyDescent="0.25">
      <c r="A5" s="182" t="s">
        <v>76</v>
      </c>
      <c r="B5" s="3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81"/>
      <c r="AU5" s="181"/>
      <c r="AW5" s="58"/>
      <c r="AX5" s="58"/>
      <c r="AY5" s="58"/>
      <c r="AZ5" s="58"/>
    </row>
    <row r="6" spans="1:52" s="173" customFormat="1" ht="15" customHeight="1" x14ac:dyDescent="0.25">
      <c r="A6" s="11" t="s">
        <v>77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81"/>
      <c r="AU6" s="181"/>
      <c r="AW6" s="58"/>
      <c r="AX6" s="58"/>
      <c r="AY6" s="58"/>
      <c r="AZ6" s="58"/>
    </row>
    <row r="7" spans="1:52" s="185" customFormat="1" ht="15" customHeight="1" x14ac:dyDescent="0.3">
      <c r="A7" s="13" t="s">
        <v>0</v>
      </c>
      <c r="B7" s="27"/>
      <c r="C7" s="183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4"/>
      <c r="Y7" s="14"/>
      <c r="Z7" s="14"/>
      <c r="AA7" s="14"/>
      <c r="AB7" s="14"/>
      <c r="AC7" s="14"/>
      <c r="AD7" s="14"/>
      <c r="AE7" s="14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3" t="s">
        <v>1</v>
      </c>
      <c r="AR7" s="14"/>
      <c r="AS7" s="184"/>
      <c r="AT7" s="184"/>
      <c r="AU7" s="184"/>
      <c r="AW7" s="97" t="s">
        <v>68</v>
      </c>
      <c r="AX7" s="39"/>
      <c r="AY7" s="39"/>
      <c r="AZ7" s="39"/>
    </row>
    <row r="8" spans="1:52" s="185" customFormat="1" ht="15" customHeight="1" thickBot="1" x14ac:dyDescent="0.3">
      <c r="A8" s="25" t="s">
        <v>5</v>
      </c>
      <c r="B8" s="27"/>
      <c r="C8" s="186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8"/>
      <c r="Y8" s="188"/>
      <c r="Z8" s="188"/>
      <c r="AA8" s="188"/>
      <c r="AB8" s="188"/>
      <c r="AC8" s="12"/>
      <c r="AD8" s="27" t="s">
        <v>53</v>
      </c>
      <c r="AE8" s="27"/>
      <c r="AF8" s="189" t="str">
        <f t="shared" ref="AF8:AO8" si="0">ADDRESS(12,3+MATCH(AF9,ModelVariablesNames,0),4,1,)</f>
        <v>E12</v>
      </c>
      <c r="AG8" s="189" t="e">
        <f t="shared" si="0"/>
        <v>#N/A</v>
      </c>
      <c r="AH8" s="189" t="e">
        <f t="shared" si="0"/>
        <v>#N/A</v>
      </c>
      <c r="AI8" s="189" t="e">
        <f t="shared" si="0"/>
        <v>#N/A</v>
      </c>
      <c r="AJ8" s="189" t="e">
        <f t="shared" si="0"/>
        <v>#N/A</v>
      </c>
      <c r="AK8" s="189" t="e">
        <f t="shared" si="0"/>
        <v>#N/A</v>
      </c>
      <c r="AL8" s="189" t="e">
        <f t="shared" si="0"/>
        <v>#N/A</v>
      </c>
      <c r="AM8" s="189" t="e">
        <f t="shared" si="0"/>
        <v>#N/A</v>
      </c>
      <c r="AN8" s="189" t="e">
        <f t="shared" si="0"/>
        <v>#N/A</v>
      </c>
      <c r="AO8" s="189" t="e">
        <f t="shared" si="0"/>
        <v>#N/A</v>
      </c>
      <c r="AP8" s="16"/>
      <c r="AQ8" s="27" t="s">
        <v>28</v>
      </c>
      <c r="AR8" s="27"/>
      <c r="AS8" s="189" t="str">
        <f>ADDRESS(11,3+MATCH(AS9,ModelVariablesNames,0),4,1,)</f>
        <v>E11</v>
      </c>
      <c r="AT8" s="189" t="str">
        <f>ADDRESS(12,3+MATCH(AT9,ModelVariablesNames,0),4,1,)</f>
        <v>H12</v>
      </c>
      <c r="AU8" s="189" t="str">
        <f>ADDRESS(12,3+MATCH(AU9,ModelVariablesNames,0),4,1,)</f>
        <v>E12</v>
      </c>
      <c r="AW8" s="116" t="s">
        <v>2</v>
      </c>
      <c r="AX8" s="65"/>
      <c r="AY8" s="65"/>
      <c r="AZ8" s="126"/>
    </row>
    <row r="9" spans="1:52" s="185" customFormat="1" ht="15" customHeight="1" thickBot="1" x14ac:dyDescent="0.3">
      <c r="A9" s="25"/>
      <c r="B9" s="190" t="s">
        <v>9</v>
      </c>
      <c r="C9" s="191" t="s">
        <v>64</v>
      </c>
      <c r="D9" s="192" t="s">
        <v>84</v>
      </c>
      <c r="E9" s="192" t="s">
        <v>85</v>
      </c>
      <c r="F9" s="192" t="s">
        <v>86</v>
      </c>
      <c r="G9" s="192" t="s">
        <v>87</v>
      </c>
      <c r="H9" s="192" t="s">
        <v>88</v>
      </c>
      <c r="I9" s="192" t="s">
        <v>89</v>
      </c>
      <c r="J9" s="192" t="s">
        <v>90</v>
      </c>
      <c r="K9" s="192" t="s">
        <v>91</v>
      </c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3"/>
      <c r="Y9" s="193"/>
      <c r="Z9" s="193"/>
      <c r="AA9" s="193"/>
      <c r="AB9" s="193"/>
      <c r="AC9" s="194"/>
      <c r="AD9" s="194"/>
      <c r="AE9" s="190" t="s">
        <v>55</v>
      </c>
      <c r="AF9" s="195" t="s">
        <v>85</v>
      </c>
      <c r="AG9" s="195"/>
      <c r="AH9" s="195"/>
      <c r="AI9" s="195"/>
      <c r="AJ9" s="195"/>
      <c r="AK9" s="195"/>
      <c r="AL9" s="195"/>
      <c r="AM9" s="195"/>
      <c r="AN9" s="195"/>
      <c r="AO9" s="195"/>
      <c r="AP9" s="196"/>
      <c r="AQ9" s="27"/>
      <c r="AR9" s="190" t="s">
        <v>9</v>
      </c>
      <c r="AS9" s="197" t="s">
        <v>85</v>
      </c>
      <c r="AT9" s="198" t="s">
        <v>88</v>
      </c>
      <c r="AU9" s="199" t="s">
        <v>85</v>
      </c>
      <c r="AW9" s="215"/>
      <c r="AX9" s="216" t="s">
        <v>22</v>
      </c>
      <c r="AY9" s="217"/>
      <c r="AZ9" s="218">
        <v>0.1</v>
      </c>
    </row>
    <row r="10" spans="1:52" s="185" customFormat="1" ht="15" customHeight="1" thickBot="1" x14ac:dyDescent="0.3">
      <c r="A10" s="200"/>
      <c r="B10" s="201" t="s">
        <v>11</v>
      </c>
      <c r="C10" s="202" t="s">
        <v>108</v>
      </c>
      <c r="D10" s="203" t="s">
        <v>92</v>
      </c>
      <c r="E10" s="203" t="s">
        <v>92</v>
      </c>
      <c r="F10" s="203" t="s">
        <v>93</v>
      </c>
      <c r="G10" s="203" t="s">
        <v>94</v>
      </c>
      <c r="H10" s="203" t="s">
        <v>97</v>
      </c>
      <c r="I10" s="203"/>
      <c r="J10" s="203" t="s">
        <v>96</v>
      </c>
      <c r="K10" s="203" t="s">
        <v>95</v>
      </c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4"/>
      <c r="Y10" s="204"/>
      <c r="Z10" s="204"/>
      <c r="AA10" s="204"/>
      <c r="AB10" s="204"/>
      <c r="AC10" s="194"/>
      <c r="AD10" s="194"/>
      <c r="AE10" s="201" t="s">
        <v>11</v>
      </c>
      <c r="AF10" s="203" t="str">
        <f t="shared" ref="AF10:AO10" si="1">IFERROR(HLOOKUP(AF9,$C$9:$AB$10,2,FALSE)&amp;"/"&amp;SimulationTimeUnit,)</f>
        <v>°C/min</v>
      </c>
      <c r="AG10" s="203">
        <f t="shared" si="1"/>
        <v>0</v>
      </c>
      <c r="AH10" s="203">
        <f t="shared" si="1"/>
        <v>0</v>
      </c>
      <c r="AI10" s="203">
        <f t="shared" si="1"/>
        <v>0</v>
      </c>
      <c r="AJ10" s="203">
        <f t="shared" si="1"/>
        <v>0</v>
      </c>
      <c r="AK10" s="203">
        <f t="shared" si="1"/>
        <v>0</v>
      </c>
      <c r="AL10" s="203">
        <f t="shared" si="1"/>
        <v>0</v>
      </c>
      <c r="AM10" s="203">
        <f t="shared" si="1"/>
        <v>0</v>
      </c>
      <c r="AN10" s="203">
        <f t="shared" si="1"/>
        <v>0</v>
      </c>
      <c r="AO10" s="203">
        <f t="shared" si="1"/>
        <v>0</v>
      </c>
      <c r="AP10" s="194"/>
      <c r="AQ10" s="27"/>
      <c r="AR10" s="201" t="s">
        <v>11</v>
      </c>
      <c r="AS10" s="205">
        <v>1</v>
      </c>
      <c r="AT10" s="206" t="s">
        <v>65</v>
      </c>
      <c r="AU10" s="205" t="s">
        <v>92</v>
      </c>
      <c r="AW10" s="215"/>
      <c r="AX10" s="215"/>
      <c r="AY10" s="215"/>
      <c r="AZ10" s="215"/>
    </row>
    <row r="11" spans="1:52" s="185" customFormat="1" ht="15" customHeight="1" x14ac:dyDescent="0.25">
      <c r="A11" s="200"/>
      <c r="B11" s="207" t="s">
        <v>66</v>
      </c>
      <c r="C11" s="208">
        <f>time</f>
        <v>0</v>
      </c>
      <c r="D11" s="209">
        <v>15</v>
      </c>
      <c r="E11" s="209">
        <f>D11+H11*I11/F11/J11/K11</f>
        <v>40.794124671602574</v>
      </c>
      <c r="F11" s="209">
        <v>0.5</v>
      </c>
      <c r="G11" s="209">
        <v>5</v>
      </c>
      <c r="H11" s="209">
        <v>60</v>
      </c>
      <c r="I11" s="209">
        <v>0.9</v>
      </c>
      <c r="J11" s="209">
        <v>1</v>
      </c>
      <c r="K11" s="209">
        <v>4.1870000000000003</v>
      </c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09"/>
      <c r="Y11" s="209"/>
      <c r="Z11" s="209"/>
      <c r="AA11" s="209"/>
      <c r="AB11" s="209"/>
      <c r="AC11" s="196"/>
      <c r="AD11" s="27"/>
      <c r="AE11" s="210" t="s">
        <v>66</v>
      </c>
      <c r="AF11" s="209">
        <f>F11/G11*(D11-E11)+H11*I11/G11/J11/K11</f>
        <v>0</v>
      </c>
      <c r="AG11" s="209"/>
      <c r="AH11" s="209"/>
      <c r="AI11" s="209"/>
      <c r="AJ11" s="209"/>
      <c r="AK11" s="209"/>
      <c r="AL11" s="209"/>
      <c r="AM11" s="209"/>
      <c r="AN11" s="209"/>
      <c r="AO11" s="209"/>
      <c r="AP11" s="196"/>
      <c r="AQ11" s="196"/>
      <c r="AR11" s="207" t="s">
        <v>66</v>
      </c>
      <c r="AS11" s="208">
        <f t="shared" ref="AS11:AS74" si="2">(AU11-E11)/(MeasuredVariableHigher-MeasuredVariableLower)</f>
        <v>0</v>
      </c>
      <c r="AT11" s="208">
        <f>H11/(ManipulatedVariableHigher-ManipulatedVariableLower)</f>
        <v>0.5</v>
      </c>
      <c r="AU11" s="208">
        <f t="shared" ref="AU11:AU74" si="3">SetPoint</f>
        <v>40.794124671602574</v>
      </c>
      <c r="AW11" s="116" t="s">
        <v>69</v>
      </c>
      <c r="AX11" s="65"/>
      <c r="AY11" s="65"/>
      <c r="AZ11" s="126"/>
    </row>
    <row r="12" spans="1:52" s="185" customFormat="1" ht="15" customHeight="1" thickBot="1" x14ac:dyDescent="0.3">
      <c r="A12" s="200"/>
      <c r="B12" s="211"/>
      <c r="C12" s="212">
        <f t="shared" ref="C12:C75" si="4">C11+IntegrationStep</f>
        <v>0.1</v>
      </c>
      <c r="D12" s="212">
        <f>15</f>
        <v>15</v>
      </c>
      <c r="E12" s="212">
        <f>E11+(C12-C11)*AF11</f>
        <v>40.794124671602574</v>
      </c>
      <c r="F12" s="212">
        <f>0.5</f>
        <v>0.5</v>
      </c>
      <c r="G12" s="212">
        <f>5</f>
        <v>5</v>
      </c>
      <c r="H12" s="212">
        <f t="shared" ref="H12:H75" si="5">ManipulatedVariableHigher*AT12</f>
        <v>60</v>
      </c>
      <c r="I12" s="212">
        <f>0.9</f>
        <v>0.9</v>
      </c>
      <c r="J12" s="212">
        <f>1</f>
        <v>1</v>
      </c>
      <c r="K12" s="212">
        <f>4.187</f>
        <v>4.1870000000000003</v>
      </c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196"/>
      <c r="AD12" s="27"/>
      <c r="AE12" s="213"/>
      <c r="AF12" s="212">
        <f>F12/G12*(D12-E12)+H12*I12/G12/J12/K12</f>
        <v>0</v>
      </c>
      <c r="AG12" s="212"/>
      <c r="AH12" s="212"/>
      <c r="AI12" s="212"/>
      <c r="AJ12" s="212"/>
      <c r="AK12" s="212"/>
      <c r="AL12" s="212"/>
      <c r="AM12" s="212"/>
      <c r="AN12" s="212"/>
      <c r="AO12" s="212"/>
      <c r="AP12" s="196"/>
      <c r="AQ12" s="196"/>
      <c r="AR12" s="211"/>
      <c r="AS12" s="212">
        <f t="shared" si="2"/>
        <v>0</v>
      </c>
      <c r="AT12" s="212">
        <f>[1]!LIM(AT11+Mode*r0*((1+IntegrationStep/2/Ti+Td/IntegrationStep)*AS12-(1-IntegrationStep/2/Ti+2*Td/IntegrationStep)*AS11+Td/IntegrationStep*0))</f>
        <v>0.5</v>
      </c>
      <c r="AU12" s="212">
        <f t="shared" si="3"/>
        <v>40.794124671602574</v>
      </c>
      <c r="AW12" s="116" t="s">
        <v>70</v>
      </c>
      <c r="AX12" s="215"/>
      <c r="AY12" s="215"/>
      <c r="AZ12" s="215"/>
    </row>
    <row r="13" spans="1:52" s="185" customFormat="1" ht="15" customHeight="1" x14ac:dyDescent="0.25">
      <c r="A13" s="200"/>
      <c r="B13" s="211"/>
      <c r="C13" s="212">
        <f t="shared" si="4"/>
        <v>0.2</v>
      </c>
      <c r="D13" s="212">
        <f>15</f>
        <v>15</v>
      </c>
      <c r="E13" s="212">
        <f t="shared" ref="E13:E76" si="6">E12+(C13-C12)*AF12</f>
        <v>40.794124671602574</v>
      </c>
      <c r="F13" s="212">
        <f t="shared" ref="F13:F76" si="7">0.5</f>
        <v>0.5</v>
      </c>
      <c r="G13" s="212">
        <f>5</f>
        <v>5</v>
      </c>
      <c r="H13" s="212">
        <f t="shared" si="5"/>
        <v>60</v>
      </c>
      <c r="I13" s="212">
        <f t="shared" ref="I13:I76" si="8">0.9</f>
        <v>0.9</v>
      </c>
      <c r="J13" s="212">
        <f>1</f>
        <v>1</v>
      </c>
      <c r="K13" s="212">
        <f t="shared" ref="K13:K76" si="9">4.187</f>
        <v>4.1870000000000003</v>
      </c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196"/>
      <c r="AD13" s="27"/>
      <c r="AE13" s="213"/>
      <c r="AF13" s="212">
        <f t="shared" ref="AF13:AF76" si="10">F13/G13*(D13-E13)+H13*I13/G13/J13/K13</f>
        <v>0</v>
      </c>
      <c r="AG13" s="212"/>
      <c r="AH13" s="212"/>
      <c r="AI13" s="212"/>
      <c r="AJ13" s="212"/>
      <c r="AK13" s="212"/>
      <c r="AL13" s="212"/>
      <c r="AM13" s="212"/>
      <c r="AN13" s="212"/>
      <c r="AO13" s="212"/>
      <c r="AP13" s="196"/>
      <c r="AQ13" s="196"/>
      <c r="AR13" s="211"/>
      <c r="AS13" s="212">
        <f t="shared" si="2"/>
        <v>0</v>
      </c>
      <c r="AT13" s="212">
        <f>[1]!LIM(AT12+Mode*r0*((1+IntegrationStep/2/Ti+Td/IntegrationStep)*AS13-(1-IntegrationStep/2/Ti+2*Td/IntegrationStep)*AS12+Td/IntegrationStep*AS11))</f>
        <v>0.5</v>
      </c>
      <c r="AU13" s="212">
        <f t="shared" si="3"/>
        <v>40.794124671602574</v>
      </c>
      <c r="AW13" s="215"/>
      <c r="AX13" s="264" t="s">
        <v>71</v>
      </c>
      <c r="AY13" s="219" t="s">
        <v>18</v>
      </c>
      <c r="AZ13" s="220">
        <v>0</v>
      </c>
    </row>
    <row r="14" spans="1:52" s="185" customFormat="1" ht="15" customHeight="1" thickBot="1" x14ac:dyDescent="0.3">
      <c r="A14" s="200"/>
      <c r="B14" s="211"/>
      <c r="C14" s="212">
        <f t="shared" si="4"/>
        <v>0.30000000000000004</v>
      </c>
      <c r="D14" s="212">
        <f>15</f>
        <v>15</v>
      </c>
      <c r="E14" s="212">
        <f t="shared" si="6"/>
        <v>40.794124671602574</v>
      </c>
      <c r="F14" s="212">
        <f t="shared" si="7"/>
        <v>0.5</v>
      </c>
      <c r="G14" s="212">
        <f>5</f>
        <v>5</v>
      </c>
      <c r="H14" s="212">
        <f t="shared" si="5"/>
        <v>60</v>
      </c>
      <c r="I14" s="212">
        <f t="shared" si="8"/>
        <v>0.9</v>
      </c>
      <c r="J14" s="212">
        <f>1</f>
        <v>1</v>
      </c>
      <c r="K14" s="212">
        <f t="shared" si="9"/>
        <v>4.1870000000000003</v>
      </c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196"/>
      <c r="AD14" s="27"/>
      <c r="AE14" s="213"/>
      <c r="AF14" s="212">
        <f t="shared" si="10"/>
        <v>0</v>
      </c>
      <c r="AG14" s="212"/>
      <c r="AH14" s="212"/>
      <c r="AI14" s="212"/>
      <c r="AJ14" s="212"/>
      <c r="AK14" s="212"/>
      <c r="AL14" s="212"/>
      <c r="AM14" s="212"/>
      <c r="AN14" s="212"/>
      <c r="AO14" s="212"/>
      <c r="AP14" s="196"/>
      <c r="AQ14" s="196"/>
      <c r="AR14" s="211"/>
      <c r="AS14" s="212">
        <f t="shared" si="2"/>
        <v>0</v>
      </c>
      <c r="AT14" s="212">
        <f>[1]!LIM(AT13+Mode*r0*((1+IntegrationStep/2/Ti+Td/IntegrationStep)*AS14-(1-IntegrationStep/2/Ti+2*Td/IntegrationStep)*AS13+Td/IntegrationStep*AS12))</f>
        <v>0.5</v>
      </c>
      <c r="AU14" s="212">
        <f t="shared" si="3"/>
        <v>40.794124671602574</v>
      </c>
      <c r="AW14" s="215"/>
      <c r="AX14" s="265"/>
      <c r="AY14" s="221" t="s">
        <v>72</v>
      </c>
      <c r="AZ14" s="222">
        <v>100</v>
      </c>
    </row>
    <row r="15" spans="1:52" s="185" customFormat="1" ht="15" customHeight="1" thickBot="1" x14ac:dyDescent="0.3">
      <c r="A15" s="200"/>
      <c r="B15" s="211"/>
      <c r="C15" s="212">
        <f t="shared" si="4"/>
        <v>0.4</v>
      </c>
      <c r="D15" s="212">
        <f>15</f>
        <v>15</v>
      </c>
      <c r="E15" s="212">
        <f t="shared" si="6"/>
        <v>40.794124671602574</v>
      </c>
      <c r="F15" s="212">
        <f t="shared" si="7"/>
        <v>0.5</v>
      </c>
      <c r="G15" s="212">
        <f>5</f>
        <v>5</v>
      </c>
      <c r="H15" s="212">
        <f t="shared" si="5"/>
        <v>60</v>
      </c>
      <c r="I15" s="212">
        <f t="shared" si="8"/>
        <v>0.9</v>
      </c>
      <c r="J15" s="212">
        <f>1</f>
        <v>1</v>
      </c>
      <c r="K15" s="212">
        <f t="shared" si="9"/>
        <v>4.1870000000000003</v>
      </c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196"/>
      <c r="AD15" s="27"/>
      <c r="AE15" s="213"/>
      <c r="AF15" s="212">
        <f t="shared" si="10"/>
        <v>0</v>
      </c>
      <c r="AG15" s="212"/>
      <c r="AH15" s="212"/>
      <c r="AI15" s="212"/>
      <c r="AJ15" s="212"/>
      <c r="AK15" s="212"/>
      <c r="AL15" s="212"/>
      <c r="AM15" s="212"/>
      <c r="AN15" s="212"/>
      <c r="AO15" s="212"/>
      <c r="AP15" s="196"/>
      <c r="AQ15" s="196"/>
      <c r="AR15" s="211"/>
      <c r="AS15" s="212">
        <f t="shared" si="2"/>
        <v>0</v>
      </c>
      <c r="AT15" s="212">
        <f>[1]!LIM(AT14+Mode*r0*((1+IntegrationStep/2/Ti+Td/IntegrationStep)*AS15-(1-IntegrationStep/2/Ti+2*Td/IntegrationStep)*AS14+Td/IntegrationStep*AS13))</f>
        <v>0.5</v>
      </c>
      <c r="AU15" s="212">
        <f t="shared" si="3"/>
        <v>40.794124671602574</v>
      </c>
      <c r="AW15" s="116" t="s">
        <v>28</v>
      </c>
      <c r="AX15" s="215"/>
      <c r="AY15" s="215"/>
      <c r="AZ15" s="215"/>
    </row>
    <row r="16" spans="1:52" s="185" customFormat="1" ht="15" customHeight="1" x14ac:dyDescent="0.25">
      <c r="A16" s="200"/>
      <c r="B16" s="211"/>
      <c r="C16" s="212">
        <f t="shared" si="4"/>
        <v>0.5</v>
      </c>
      <c r="D16" s="212">
        <f>15</f>
        <v>15</v>
      </c>
      <c r="E16" s="212">
        <f t="shared" si="6"/>
        <v>40.794124671602574</v>
      </c>
      <c r="F16" s="212">
        <f t="shared" si="7"/>
        <v>0.5</v>
      </c>
      <c r="G16" s="212">
        <f>5</f>
        <v>5</v>
      </c>
      <c r="H16" s="212">
        <f t="shared" si="5"/>
        <v>60</v>
      </c>
      <c r="I16" s="212">
        <f t="shared" si="8"/>
        <v>0.9</v>
      </c>
      <c r="J16" s="212">
        <f>1</f>
        <v>1</v>
      </c>
      <c r="K16" s="212">
        <f t="shared" si="9"/>
        <v>4.1870000000000003</v>
      </c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196"/>
      <c r="AD16" s="27"/>
      <c r="AE16" s="213"/>
      <c r="AF16" s="212">
        <f t="shared" si="10"/>
        <v>0</v>
      </c>
      <c r="AG16" s="212"/>
      <c r="AH16" s="212"/>
      <c r="AI16" s="212"/>
      <c r="AJ16" s="212"/>
      <c r="AK16" s="212"/>
      <c r="AL16" s="212"/>
      <c r="AM16" s="212"/>
      <c r="AN16" s="212"/>
      <c r="AO16" s="212"/>
      <c r="AP16" s="196"/>
      <c r="AQ16" s="196"/>
      <c r="AR16" s="211"/>
      <c r="AS16" s="212">
        <f t="shared" si="2"/>
        <v>0</v>
      </c>
      <c r="AT16" s="212">
        <f>[1]!LIM(AT15+Mode*r0*((1+IntegrationStep/2/Ti+Td/IntegrationStep)*AS16-(1-IntegrationStep/2/Ti+2*Td/IntegrationStep)*AS15+Td/IntegrationStep*AS14))</f>
        <v>0.5</v>
      </c>
      <c r="AU16" s="212">
        <f t="shared" si="3"/>
        <v>40.794124671602574</v>
      </c>
      <c r="AW16" s="215"/>
      <c r="AX16" s="40" t="s">
        <v>33</v>
      </c>
      <c r="AY16" s="223"/>
      <c r="AZ16" s="224">
        <v>40.794124671602574</v>
      </c>
    </row>
    <row r="17" spans="1:52" s="185" customFormat="1" ht="15" customHeight="1" x14ac:dyDescent="0.25">
      <c r="A17" s="200"/>
      <c r="B17" s="211"/>
      <c r="C17" s="212">
        <f t="shared" si="4"/>
        <v>0.6</v>
      </c>
      <c r="D17" s="212">
        <f>15</f>
        <v>15</v>
      </c>
      <c r="E17" s="212">
        <f t="shared" si="6"/>
        <v>40.794124671602574</v>
      </c>
      <c r="F17" s="212">
        <f t="shared" si="7"/>
        <v>0.5</v>
      </c>
      <c r="G17" s="212">
        <f>5</f>
        <v>5</v>
      </c>
      <c r="H17" s="212">
        <f t="shared" si="5"/>
        <v>60</v>
      </c>
      <c r="I17" s="212">
        <f t="shared" si="8"/>
        <v>0.9</v>
      </c>
      <c r="J17" s="212">
        <f>1</f>
        <v>1</v>
      </c>
      <c r="K17" s="212">
        <f t="shared" si="9"/>
        <v>4.1870000000000003</v>
      </c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196"/>
      <c r="AD17" s="27"/>
      <c r="AE17" s="213"/>
      <c r="AF17" s="212">
        <f t="shared" si="10"/>
        <v>0</v>
      </c>
      <c r="AG17" s="212"/>
      <c r="AH17" s="212"/>
      <c r="AI17" s="212"/>
      <c r="AJ17" s="212"/>
      <c r="AK17" s="212"/>
      <c r="AL17" s="212"/>
      <c r="AM17" s="212"/>
      <c r="AN17" s="212"/>
      <c r="AO17" s="212"/>
      <c r="AP17" s="196"/>
      <c r="AQ17" s="196"/>
      <c r="AR17" s="211"/>
      <c r="AS17" s="212">
        <f t="shared" si="2"/>
        <v>0</v>
      </c>
      <c r="AT17" s="212">
        <f>[1]!LIM(AT16+Mode*r0*((1+IntegrationStep/2/Ti+Td/IntegrationStep)*AS17-(1-IntegrationStep/2/Ti+2*Td/IntegrationStep)*AS16+Td/IntegrationStep*AS15))</f>
        <v>0.5</v>
      </c>
      <c r="AU17" s="212">
        <f t="shared" si="3"/>
        <v>40.794124671602574</v>
      </c>
      <c r="AW17" s="215"/>
      <c r="AX17" s="113" t="s">
        <v>37</v>
      </c>
      <c r="AY17" s="225"/>
      <c r="AZ17" s="226">
        <v>1</v>
      </c>
    </row>
    <row r="18" spans="1:52" s="185" customFormat="1" ht="15" customHeight="1" x14ac:dyDescent="0.25">
      <c r="A18" s="200"/>
      <c r="B18" s="211"/>
      <c r="C18" s="212">
        <f t="shared" si="4"/>
        <v>0.7</v>
      </c>
      <c r="D18" s="212">
        <f>15</f>
        <v>15</v>
      </c>
      <c r="E18" s="212">
        <f t="shared" si="6"/>
        <v>40.794124671602574</v>
      </c>
      <c r="F18" s="212">
        <f t="shared" si="7"/>
        <v>0.5</v>
      </c>
      <c r="G18" s="212">
        <f>5</f>
        <v>5</v>
      </c>
      <c r="H18" s="212">
        <f t="shared" si="5"/>
        <v>60</v>
      </c>
      <c r="I18" s="212">
        <f t="shared" si="8"/>
        <v>0.9</v>
      </c>
      <c r="J18" s="212">
        <f>1</f>
        <v>1</v>
      </c>
      <c r="K18" s="212">
        <f t="shared" si="9"/>
        <v>4.1870000000000003</v>
      </c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196"/>
      <c r="AD18" s="27"/>
      <c r="AE18" s="213"/>
      <c r="AF18" s="212">
        <f t="shared" si="10"/>
        <v>0</v>
      </c>
      <c r="AG18" s="212"/>
      <c r="AH18" s="212"/>
      <c r="AI18" s="212"/>
      <c r="AJ18" s="212"/>
      <c r="AK18" s="212"/>
      <c r="AL18" s="212"/>
      <c r="AM18" s="212"/>
      <c r="AN18" s="212"/>
      <c r="AO18" s="212"/>
      <c r="AP18" s="196"/>
      <c r="AQ18" s="196"/>
      <c r="AR18" s="211"/>
      <c r="AS18" s="212">
        <f t="shared" si="2"/>
        <v>0</v>
      </c>
      <c r="AT18" s="212">
        <f>[1]!LIM(AT17+Mode*r0*((1+IntegrationStep/2/Ti+Td/IntegrationStep)*AS18-(1-IntegrationStep/2/Ti+2*Td/IntegrationStep)*AS17+Td/IntegrationStep*AS16))</f>
        <v>0.5</v>
      </c>
      <c r="AU18" s="212">
        <f t="shared" si="3"/>
        <v>40.794124671602574</v>
      </c>
      <c r="AW18" s="215"/>
      <c r="AX18" s="113" t="s">
        <v>44</v>
      </c>
      <c r="AY18" s="225"/>
      <c r="AZ18" s="227" t="s">
        <v>80</v>
      </c>
    </row>
    <row r="19" spans="1:52" s="185" customFormat="1" ht="15" customHeight="1" x14ac:dyDescent="0.25">
      <c r="A19" s="200"/>
      <c r="B19" s="211"/>
      <c r="C19" s="212">
        <f t="shared" si="4"/>
        <v>0.79999999999999993</v>
      </c>
      <c r="D19" s="212">
        <f>15</f>
        <v>15</v>
      </c>
      <c r="E19" s="212">
        <f t="shared" si="6"/>
        <v>40.794124671602574</v>
      </c>
      <c r="F19" s="212">
        <f t="shared" si="7"/>
        <v>0.5</v>
      </c>
      <c r="G19" s="212">
        <f>5</f>
        <v>5</v>
      </c>
      <c r="H19" s="212">
        <f t="shared" si="5"/>
        <v>60</v>
      </c>
      <c r="I19" s="212">
        <f t="shared" si="8"/>
        <v>0.9</v>
      </c>
      <c r="J19" s="212">
        <f>1</f>
        <v>1</v>
      </c>
      <c r="K19" s="212">
        <f t="shared" si="9"/>
        <v>4.1870000000000003</v>
      </c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196"/>
      <c r="AD19" s="27"/>
      <c r="AE19" s="213"/>
      <c r="AF19" s="212">
        <f t="shared" si="10"/>
        <v>0</v>
      </c>
      <c r="AG19" s="212"/>
      <c r="AH19" s="212"/>
      <c r="AI19" s="212"/>
      <c r="AJ19" s="212"/>
      <c r="AK19" s="212"/>
      <c r="AL19" s="212"/>
      <c r="AM19" s="212"/>
      <c r="AN19" s="212"/>
      <c r="AO19" s="212"/>
      <c r="AP19" s="196"/>
      <c r="AQ19" s="196"/>
      <c r="AR19" s="211"/>
      <c r="AS19" s="212">
        <f t="shared" si="2"/>
        <v>0</v>
      </c>
      <c r="AT19" s="212">
        <f>[1]!LIM(AT18+Mode*r0*((1+IntegrationStep/2/Ti+Td/IntegrationStep)*AS19-(1-IntegrationStep/2/Ti+2*Td/IntegrationStep)*AS18+Td/IntegrationStep*AS17))</f>
        <v>0.5</v>
      </c>
      <c r="AU19" s="212">
        <f t="shared" si="3"/>
        <v>40.794124671602574</v>
      </c>
      <c r="AW19" s="215"/>
      <c r="AX19" s="113" t="s">
        <v>73</v>
      </c>
      <c r="AY19" s="225"/>
      <c r="AZ19" s="227">
        <v>15</v>
      </c>
    </row>
    <row r="20" spans="1:52" s="185" customFormat="1" ht="15" customHeight="1" x14ac:dyDescent="0.25">
      <c r="A20" s="200"/>
      <c r="B20" s="211"/>
      <c r="C20" s="212">
        <f t="shared" si="4"/>
        <v>0.89999999999999991</v>
      </c>
      <c r="D20" s="212">
        <f>15</f>
        <v>15</v>
      </c>
      <c r="E20" s="212">
        <f t="shared" si="6"/>
        <v>40.794124671602574</v>
      </c>
      <c r="F20" s="212">
        <f t="shared" si="7"/>
        <v>0.5</v>
      </c>
      <c r="G20" s="212">
        <f>5</f>
        <v>5</v>
      </c>
      <c r="H20" s="212">
        <f t="shared" si="5"/>
        <v>60</v>
      </c>
      <c r="I20" s="212">
        <f t="shared" si="8"/>
        <v>0.9</v>
      </c>
      <c r="J20" s="212">
        <f>1</f>
        <v>1</v>
      </c>
      <c r="K20" s="212">
        <f t="shared" si="9"/>
        <v>4.1870000000000003</v>
      </c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196"/>
      <c r="AD20" s="27"/>
      <c r="AE20" s="213"/>
      <c r="AF20" s="212">
        <f t="shared" si="10"/>
        <v>0</v>
      </c>
      <c r="AG20" s="212"/>
      <c r="AH20" s="212"/>
      <c r="AI20" s="212"/>
      <c r="AJ20" s="212"/>
      <c r="AK20" s="212"/>
      <c r="AL20" s="212"/>
      <c r="AM20" s="212"/>
      <c r="AN20" s="212"/>
      <c r="AO20" s="212"/>
      <c r="AP20" s="196"/>
      <c r="AQ20" s="196"/>
      <c r="AR20" s="211"/>
      <c r="AS20" s="212">
        <f t="shared" si="2"/>
        <v>0</v>
      </c>
      <c r="AT20" s="212">
        <f>[1]!LIM(AT19+Mode*r0*((1+IntegrationStep/2/Ti+Td/IntegrationStep)*AS20-(1-IntegrationStep/2/Ti+2*Td/IntegrationStep)*AS19+Td/IntegrationStep*AS18))</f>
        <v>0.5</v>
      </c>
      <c r="AU20" s="212">
        <f t="shared" si="3"/>
        <v>40.794124671602574</v>
      </c>
      <c r="AW20" s="215"/>
      <c r="AX20" s="113" t="s">
        <v>74</v>
      </c>
      <c r="AY20" s="225"/>
      <c r="AZ20" s="227">
        <v>4</v>
      </c>
    </row>
    <row r="21" spans="1:52" s="185" customFormat="1" ht="15" customHeight="1" thickBot="1" x14ac:dyDescent="0.3">
      <c r="A21" s="200"/>
      <c r="B21" s="211"/>
      <c r="C21" s="212">
        <f t="shared" si="4"/>
        <v>0.99999999999999989</v>
      </c>
      <c r="D21" s="212">
        <f>15</f>
        <v>15</v>
      </c>
      <c r="E21" s="212">
        <f t="shared" si="6"/>
        <v>40.794124671602574</v>
      </c>
      <c r="F21" s="212">
        <f t="shared" si="7"/>
        <v>0.5</v>
      </c>
      <c r="G21" s="212">
        <f>5</f>
        <v>5</v>
      </c>
      <c r="H21" s="212">
        <f t="shared" si="5"/>
        <v>60</v>
      </c>
      <c r="I21" s="212">
        <f t="shared" si="8"/>
        <v>0.9</v>
      </c>
      <c r="J21" s="212">
        <f>1</f>
        <v>1</v>
      </c>
      <c r="K21" s="212">
        <f t="shared" si="9"/>
        <v>4.1870000000000003</v>
      </c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196"/>
      <c r="AD21" s="27"/>
      <c r="AE21" s="213"/>
      <c r="AF21" s="212">
        <f t="shared" si="10"/>
        <v>0</v>
      </c>
      <c r="AG21" s="212"/>
      <c r="AH21" s="212"/>
      <c r="AI21" s="212"/>
      <c r="AJ21" s="212"/>
      <c r="AK21" s="212"/>
      <c r="AL21" s="212"/>
      <c r="AM21" s="212"/>
      <c r="AN21" s="212"/>
      <c r="AO21" s="212"/>
      <c r="AP21" s="196"/>
      <c r="AQ21" s="196"/>
      <c r="AR21" s="211"/>
      <c r="AS21" s="212">
        <f t="shared" si="2"/>
        <v>0</v>
      </c>
      <c r="AT21" s="212">
        <f>[1]!LIM(AT20+Mode*r0*((1+IntegrationStep/2/Ti+Td/IntegrationStep)*AS21-(1-IntegrationStep/2/Ti+2*Td/IntegrationStep)*AS20+Td/IntegrationStep*AS19))</f>
        <v>0.5</v>
      </c>
      <c r="AU21" s="212">
        <f t="shared" si="3"/>
        <v>40.794124671602574</v>
      </c>
      <c r="AW21" s="215"/>
      <c r="AX21" s="51" t="s">
        <v>75</v>
      </c>
      <c r="AY21" s="228"/>
      <c r="AZ21" s="222">
        <v>0</v>
      </c>
    </row>
    <row r="22" spans="1:52" s="185" customFormat="1" ht="15" customHeight="1" thickBot="1" x14ac:dyDescent="0.3">
      <c r="A22" s="200"/>
      <c r="B22" s="211"/>
      <c r="C22" s="212">
        <f t="shared" si="4"/>
        <v>1.0999999999999999</v>
      </c>
      <c r="D22" s="212">
        <f>15</f>
        <v>15</v>
      </c>
      <c r="E22" s="212">
        <f t="shared" si="6"/>
        <v>40.794124671602574</v>
      </c>
      <c r="F22" s="212">
        <f t="shared" si="7"/>
        <v>0.5</v>
      </c>
      <c r="G22" s="212">
        <f>5</f>
        <v>5</v>
      </c>
      <c r="H22" s="212">
        <f t="shared" si="5"/>
        <v>60</v>
      </c>
      <c r="I22" s="212">
        <f t="shared" si="8"/>
        <v>0.9</v>
      </c>
      <c r="J22" s="212">
        <f>1</f>
        <v>1</v>
      </c>
      <c r="K22" s="212">
        <f t="shared" si="9"/>
        <v>4.1870000000000003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196"/>
      <c r="AD22" s="27"/>
      <c r="AE22" s="213"/>
      <c r="AF22" s="212">
        <f t="shared" si="10"/>
        <v>0</v>
      </c>
      <c r="AG22" s="212"/>
      <c r="AH22" s="212"/>
      <c r="AI22" s="212"/>
      <c r="AJ22" s="212"/>
      <c r="AK22" s="212"/>
      <c r="AL22" s="212"/>
      <c r="AM22" s="212"/>
      <c r="AN22" s="212"/>
      <c r="AO22" s="212"/>
      <c r="AP22" s="196"/>
      <c r="AQ22" s="196"/>
      <c r="AR22" s="211"/>
      <c r="AS22" s="212">
        <f t="shared" si="2"/>
        <v>0</v>
      </c>
      <c r="AT22" s="212">
        <f>[1]!LIM(AT21+Mode*r0*((1+IntegrationStep/2/Ti+Td/IntegrationStep)*AS22-(1-IntegrationStep/2/Ti+2*Td/IntegrationStep)*AS21+Td/IntegrationStep*AS20))</f>
        <v>0.5</v>
      </c>
      <c r="AU22" s="212">
        <f t="shared" si="3"/>
        <v>40.794124671602574</v>
      </c>
      <c r="AW22" s="116" t="s">
        <v>50</v>
      </c>
      <c r="AX22" s="215"/>
      <c r="AY22" s="215"/>
      <c r="AZ22" s="229"/>
    </row>
    <row r="23" spans="1:52" s="185" customFormat="1" ht="15" customHeight="1" x14ac:dyDescent="0.25">
      <c r="A23" s="200"/>
      <c r="B23" s="211"/>
      <c r="C23" s="212">
        <f t="shared" si="4"/>
        <v>1.2</v>
      </c>
      <c r="D23" s="212">
        <f>15</f>
        <v>15</v>
      </c>
      <c r="E23" s="212">
        <f t="shared" si="6"/>
        <v>40.794124671602574</v>
      </c>
      <c r="F23" s="212">
        <f t="shared" si="7"/>
        <v>0.5</v>
      </c>
      <c r="G23" s="212">
        <f>5</f>
        <v>5</v>
      </c>
      <c r="H23" s="212">
        <f t="shared" si="5"/>
        <v>60</v>
      </c>
      <c r="I23" s="212">
        <f t="shared" si="8"/>
        <v>0.9</v>
      </c>
      <c r="J23" s="212">
        <f>1</f>
        <v>1</v>
      </c>
      <c r="K23" s="212">
        <f t="shared" si="9"/>
        <v>4.1870000000000003</v>
      </c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196"/>
      <c r="AD23" s="27"/>
      <c r="AE23" s="213"/>
      <c r="AF23" s="212">
        <f t="shared" si="10"/>
        <v>0</v>
      </c>
      <c r="AG23" s="212"/>
      <c r="AH23" s="212"/>
      <c r="AI23" s="212"/>
      <c r="AJ23" s="212"/>
      <c r="AK23" s="212"/>
      <c r="AL23" s="212"/>
      <c r="AM23" s="212"/>
      <c r="AN23" s="212"/>
      <c r="AO23" s="212"/>
      <c r="AP23" s="196"/>
      <c r="AQ23" s="196"/>
      <c r="AR23" s="211"/>
      <c r="AS23" s="212">
        <f t="shared" si="2"/>
        <v>0</v>
      </c>
      <c r="AT23" s="212">
        <f>[1]!LIM(AT22+Mode*r0*((1+IntegrationStep/2/Ti+Td/IntegrationStep)*AS23-(1-IntegrationStep/2/Ti+2*Td/IntegrationStep)*AS22+Td/IntegrationStep*AS21))</f>
        <v>0.5</v>
      </c>
      <c r="AU23" s="212">
        <f t="shared" si="3"/>
        <v>40.794124671602574</v>
      </c>
      <c r="AW23" s="215"/>
      <c r="AX23" s="264" t="s">
        <v>71</v>
      </c>
      <c r="AY23" s="219" t="s">
        <v>18</v>
      </c>
      <c r="AZ23" s="220">
        <v>0</v>
      </c>
    </row>
    <row r="24" spans="1:52" s="185" customFormat="1" ht="15" customHeight="1" thickBot="1" x14ac:dyDescent="0.3">
      <c r="A24" s="200"/>
      <c r="B24" s="211"/>
      <c r="C24" s="212">
        <f t="shared" si="4"/>
        <v>1.3</v>
      </c>
      <c r="D24" s="212">
        <f>15</f>
        <v>15</v>
      </c>
      <c r="E24" s="212">
        <f t="shared" si="6"/>
        <v>40.794124671602574</v>
      </c>
      <c r="F24" s="212">
        <f t="shared" si="7"/>
        <v>0.5</v>
      </c>
      <c r="G24" s="212">
        <f>5</f>
        <v>5</v>
      </c>
      <c r="H24" s="212">
        <f t="shared" si="5"/>
        <v>60</v>
      </c>
      <c r="I24" s="212">
        <f t="shared" si="8"/>
        <v>0.9</v>
      </c>
      <c r="J24" s="212">
        <f>1</f>
        <v>1</v>
      </c>
      <c r="K24" s="212">
        <f t="shared" si="9"/>
        <v>4.1870000000000003</v>
      </c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196"/>
      <c r="AD24" s="27"/>
      <c r="AE24" s="213"/>
      <c r="AF24" s="212">
        <f t="shared" si="10"/>
        <v>0</v>
      </c>
      <c r="AG24" s="212"/>
      <c r="AH24" s="212"/>
      <c r="AI24" s="212"/>
      <c r="AJ24" s="212"/>
      <c r="AK24" s="212"/>
      <c r="AL24" s="212"/>
      <c r="AM24" s="212"/>
      <c r="AN24" s="212"/>
      <c r="AO24" s="212"/>
      <c r="AP24" s="196"/>
      <c r="AQ24" s="196"/>
      <c r="AR24" s="211"/>
      <c r="AS24" s="212">
        <f t="shared" si="2"/>
        <v>0</v>
      </c>
      <c r="AT24" s="212">
        <f>[1]!LIM(AT23+Mode*r0*((1+IntegrationStep/2/Ti+Td/IntegrationStep)*AS24-(1-IntegrationStep/2/Ti+2*Td/IntegrationStep)*AS23+Td/IntegrationStep*AS22))</f>
        <v>0.5</v>
      </c>
      <c r="AU24" s="212">
        <f t="shared" si="3"/>
        <v>40.794124671602574</v>
      </c>
      <c r="AW24" s="215"/>
      <c r="AX24" s="265"/>
      <c r="AY24" s="221" t="s">
        <v>72</v>
      </c>
      <c r="AZ24" s="222">
        <v>120</v>
      </c>
    </row>
    <row r="25" spans="1:52" s="185" customFormat="1" ht="15" customHeight="1" x14ac:dyDescent="0.25">
      <c r="A25" s="200"/>
      <c r="B25" s="211"/>
      <c r="C25" s="212">
        <f t="shared" si="4"/>
        <v>1.4000000000000001</v>
      </c>
      <c r="D25" s="212">
        <f>15</f>
        <v>15</v>
      </c>
      <c r="E25" s="212">
        <f t="shared" si="6"/>
        <v>40.794124671602574</v>
      </c>
      <c r="F25" s="212">
        <f t="shared" si="7"/>
        <v>0.5</v>
      </c>
      <c r="G25" s="212">
        <f>5</f>
        <v>5</v>
      </c>
      <c r="H25" s="212">
        <f t="shared" si="5"/>
        <v>60</v>
      </c>
      <c r="I25" s="212">
        <f t="shared" si="8"/>
        <v>0.9</v>
      </c>
      <c r="J25" s="212">
        <f>1</f>
        <v>1</v>
      </c>
      <c r="K25" s="212">
        <f t="shared" si="9"/>
        <v>4.1870000000000003</v>
      </c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196"/>
      <c r="AD25" s="27"/>
      <c r="AE25" s="213"/>
      <c r="AF25" s="212">
        <f t="shared" si="10"/>
        <v>0</v>
      </c>
      <c r="AG25" s="212"/>
      <c r="AH25" s="212"/>
      <c r="AI25" s="212"/>
      <c r="AJ25" s="212"/>
      <c r="AK25" s="212"/>
      <c r="AL25" s="212"/>
      <c r="AM25" s="212"/>
      <c r="AN25" s="212"/>
      <c r="AO25" s="212"/>
      <c r="AP25" s="196"/>
      <c r="AQ25" s="196"/>
      <c r="AR25" s="211"/>
      <c r="AS25" s="212">
        <f t="shared" si="2"/>
        <v>0</v>
      </c>
      <c r="AT25" s="212">
        <f>[1]!LIM(AT24+Mode*r0*((1+IntegrationStep/2/Ti+Td/IntegrationStep)*AS25-(1-IntegrationStep/2/Ti+2*Td/IntegrationStep)*AS24+Td/IntegrationStep*AS23))</f>
        <v>0.5</v>
      </c>
      <c r="AU25" s="212">
        <f t="shared" si="3"/>
        <v>40.794124671602574</v>
      </c>
      <c r="AW25" s="58"/>
      <c r="AX25" s="58"/>
      <c r="AY25" s="58"/>
      <c r="AZ25" s="58"/>
    </row>
    <row r="26" spans="1:52" s="185" customFormat="1" ht="15" customHeight="1" x14ac:dyDescent="0.25">
      <c r="A26" s="200"/>
      <c r="B26" s="211"/>
      <c r="C26" s="212">
        <f t="shared" si="4"/>
        <v>1.5000000000000002</v>
      </c>
      <c r="D26" s="212">
        <f>15</f>
        <v>15</v>
      </c>
      <c r="E26" s="212">
        <f t="shared" si="6"/>
        <v>40.794124671602574</v>
      </c>
      <c r="F26" s="212">
        <f t="shared" si="7"/>
        <v>0.5</v>
      </c>
      <c r="G26" s="212">
        <f>5</f>
        <v>5</v>
      </c>
      <c r="H26" s="212">
        <f t="shared" si="5"/>
        <v>60</v>
      </c>
      <c r="I26" s="212">
        <f t="shared" si="8"/>
        <v>0.9</v>
      </c>
      <c r="J26" s="212">
        <f>1</f>
        <v>1</v>
      </c>
      <c r="K26" s="212">
        <f t="shared" si="9"/>
        <v>4.1870000000000003</v>
      </c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196"/>
      <c r="AD26" s="27"/>
      <c r="AE26" s="213"/>
      <c r="AF26" s="212">
        <f t="shared" si="10"/>
        <v>0</v>
      </c>
      <c r="AG26" s="212"/>
      <c r="AH26" s="212"/>
      <c r="AI26" s="212"/>
      <c r="AJ26" s="212"/>
      <c r="AK26" s="212"/>
      <c r="AL26" s="212"/>
      <c r="AM26" s="212"/>
      <c r="AN26" s="212"/>
      <c r="AO26" s="212"/>
      <c r="AP26" s="196"/>
      <c r="AQ26" s="196"/>
      <c r="AR26" s="211"/>
      <c r="AS26" s="212">
        <f t="shared" si="2"/>
        <v>0</v>
      </c>
      <c r="AT26" s="212">
        <f>[1]!LIM(AT25+Mode*r0*((1+IntegrationStep/2/Ti+Td/IntegrationStep)*AS26-(1-IntegrationStep/2/Ti+2*Td/IntegrationStep)*AS25+Td/IntegrationStep*AS24))</f>
        <v>0.5</v>
      </c>
      <c r="AU26" s="212">
        <f t="shared" si="3"/>
        <v>40.794124671602574</v>
      </c>
      <c r="AW26" s="58"/>
      <c r="AX26" s="58"/>
      <c r="AY26" s="58"/>
      <c r="AZ26" s="58"/>
    </row>
    <row r="27" spans="1:52" s="185" customFormat="1" ht="15" customHeight="1" x14ac:dyDescent="0.25">
      <c r="A27" s="200"/>
      <c r="B27" s="211"/>
      <c r="C27" s="212">
        <f t="shared" si="4"/>
        <v>1.6000000000000003</v>
      </c>
      <c r="D27" s="212">
        <f>15</f>
        <v>15</v>
      </c>
      <c r="E27" s="212">
        <f t="shared" si="6"/>
        <v>40.794124671602574</v>
      </c>
      <c r="F27" s="212">
        <f t="shared" si="7"/>
        <v>0.5</v>
      </c>
      <c r="G27" s="212">
        <f>5</f>
        <v>5</v>
      </c>
      <c r="H27" s="212">
        <f t="shared" si="5"/>
        <v>60</v>
      </c>
      <c r="I27" s="212">
        <f t="shared" si="8"/>
        <v>0.9</v>
      </c>
      <c r="J27" s="212">
        <f>1</f>
        <v>1</v>
      </c>
      <c r="K27" s="212">
        <f t="shared" si="9"/>
        <v>4.1870000000000003</v>
      </c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196"/>
      <c r="AD27" s="27"/>
      <c r="AE27" s="213"/>
      <c r="AF27" s="212">
        <f t="shared" si="10"/>
        <v>0</v>
      </c>
      <c r="AG27" s="212"/>
      <c r="AH27" s="212"/>
      <c r="AI27" s="212"/>
      <c r="AJ27" s="212"/>
      <c r="AK27" s="212"/>
      <c r="AL27" s="212"/>
      <c r="AM27" s="212"/>
      <c r="AN27" s="212"/>
      <c r="AO27" s="212"/>
      <c r="AP27" s="196"/>
      <c r="AQ27" s="196"/>
      <c r="AR27" s="211"/>
      <c r="AS27" s="212">
        <f t="shared" si="2"/>
        <v>0</v>
      </c>
      <c r="AT27" s="212">
        <f>[1]!LIM(AT26+Mode*r0*((1+IntegrationStep/2/Ti+Td/IntegrationStep)*AS27-(1-IntegrationStep/2/Ti+2*Td/IntegrationStep)*AS26+Td/IntegrationStep*AS25))</f>
        <v>0.5</v>
      </c>
      <c r="AU27" s="212">
        <f t="shared" si="3"/>
        <v>40.794124671602574</v>
      </c>
      <c r="AW27" s="58"/>
      <c r="AX27" s="58"/>
      <c r="AY27" s="58"/>
      <c r="AZ27" s="58"/>
    </row>
    <row r="28" spans="1:52" s="185" customFormat="1" ht="15" customHeight="1" x14ac:dyDescent="0.25">
      <c r="A28" s="200"/>
      <c r="B28" s="211"/>
      <c r="C28" s="212">
        <f t="shared" si="4"/>
        <v>1.7000000000000004</v>
      </c>
      <c r="D28" s="212">
        <f>15</f>
        <v>15</v>
      </c>
      <c r="E28" s="212">
        <f t="shared" si="6"/>
        <v>40.794124671602574</v>
      </c>
      <c r="F28" s="212">
        <f t="shared" si="7"/>
        <v>0.5</v>
      </c>
      <c r="G28" s="212">
        <f>5</f>
        <v>5</v>
      </c>
      <c r="H28" s="212">
        <f t="shared" si="5"/>
        <v>60</v>
      </c>
      <c r="I28" s="212">
        <f t="shared" si="8"/>
        <v>0.9</v>
      </c>
      <c r="J28" s="212">
        <f>1</f>
        <v>1</v>
      </c>
      <c r="K28" s="212">
        <f t="shared" si="9"/>
        <v>4.1870000000000003</v>
      </c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196"/>
      <c r="AD28" s="27"/>
      <c r="AE28" s="213"/>
      <c r="AF28" s="212">
        <f t="shared" si="10"/>
        <v>0</v>
      </c>
      <c r="AG28" s="212"/>
      <c r="AH28" s="212"/>
      <c r="AI28" s="212"/>
      <c r="AJ28" s="212"/>
      <c r="AK28" s="212"/>
      <c r="AL28" s="212"/>
      <c r="AM28" s="212"/>
      <c r="AN28" s="212"/>
      <c r="AO28" s="212"/>
      <c r="AP28" s="196"/>
      <c r="AQ28" s="196"/>
      <c r="AR28" s="211"/>
      <c r="AS28" s="212">
        <f t="shared" si="2"/>
        <v>0</v>
      </c>
      <c r="AT28" s="212">
        <f>[1]!LIM(AT27+Mode*r0*((1+IntegrationStep/2/Ti+Td/IntegrationStep)*AS28-(1-IntegrationStep/2/Ti+2*Td/IntegrationStep)*AS27+Td/IntegrationStep*AS26))</f>
        <v>0.5</v>
      </c>
      <c r="AU28" s="212">
        <f t="shared" si="3"/>
        <v>40.794124671602574</v>
      </c>
      <c r="AW28" s="58"/>
      <c r="AX28" s="58"/>
      <c r="AY28" s="58"/>
      <c r="AZ28" s="58"/>
    </row>
    <row r="29" spans="1:52" s="185" customFormat="1" ht="15" customHeight="1" x14ac:dyDescent="0.25">
      <c r="A29" s="200"/>
      <c r="B29" s="211"/>
      <c r="C29" s="212">
        <f t="shared" si="4"/>
        <v>1.8000000000000005</v>
      </c>
      <c r="D29" s="212">
        <f>15</f>
        <v>15</v>
      </c>
      <c r="E29" s="212">
        <f t="shared" si="6"/>
        <v>40.794124671602574</v>
      </c>
      <c r="F29" s="212">
        <f t="shared" si="7"/>
        <v>0.5</v>
      </c>
      <c r="G29" s="212">
        <f>5</f>
        <v>5</v>
      </c>
      <c r="H29" s="212">
        <f t="shared" si="5"/>
        <v>60</v>
      </c>
      <c r="I29" s="212">
        <f t="shared" si="8"/>
        <v>0.9</v>
      </c>
      <c r="J29" s="212">
        <f>1</f>
        <v>1</v>
      </c>
      <c r="K29" s="212">
        <f t="shared" si="9"/>
        <v>4.1870000000000003</v>
      </c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196"/>
      <c r="AD29" s="27"/>
      <c r="AE29" s="213"/>
      <c r="AF29" s="212">
        <f t="shared" si="10"/>
        <v>0</v>
      </c>
      <c r="AG29" s="212"/>
      <c r="AH29" s="212"/>
      <c r="AI29" s="212"/>
      <c r="AJ29" s="212"/>
      <c r="AK29" s="212"/>
      <c r="AL29" s="212"/>
      <c r="AM29" s="212"/>
      <c r="AN29" s="212"/>
      <c r="AO29" s="212"/>
      <c r="AP29" s="196"/>
      <c r="AQ29" s="196"/>
      <c r="AR29" s="211"/>
      <c r="AS29" s="212">
        <f t="shared" si="2"/>
        <v>0</v>
      </c>
      <c r="AT29" s="212">
        <f>[1]!LIM(AT28+Mode*r0*((1+IntegrationStep/2/Ti+Td/IntegrationStep)*AS29-(1-IntegrationStep/2/Ti+2*Td/IntegrationStep)*AS28+Td/IntegrationStep*AS27))</f>
        <v>0.5</v>
      </c>
      <c r="AU29" s="212">
        <f t="shared" si="3"/>
        <v>40.794124671602574</v>
      </c>
      <c r="AW29" s="58"/>
      <c r="AX29" s="58"/>
      <c r="AY29" s="58"/>
      <c r="AZ29" s="58"/>
    </row>
    <row r="30" spans="1:52" s="185" customFormat="1" ht="15" customHeight="1" x14ac:dyDescent="0.25">
      <c r="A30" s="200"/>
      <c r="B30" s="211"/>
      <c r="C30" s="212">
        <f t="shared" si="4"/>
        <v>1.9000000000000006</v>
      </c>
      <c r="D30" s="212">
        <f>15</f>
        <v>15</v>
      </c>
      <c r="E30" s="212">
        <f t="shared" si="6"/>
        <v>40.794124671602574</v>
      </c>
      <c r="F30" s="212">
        <f t="shared" si="7"/>
        <v>0.5</v>
      </c>
      <c r="G30" s="212">
        <f>5</f>
        <v>5</v>
      </c>
      <c r="H30" s="212">
        <f t="shared" si="5"/>
        <v>60</v>
      </c>
      <c r="I30" s="212">
        <f t="shared" si="8"/>
        <v>0.9</v>
      </c>
      <c r="J30" s="212">
        <f>1</f>
        <v>1</v>
      </c>
      <c r="K30" s="212">
        <f t="shared" si="9"/>
        <v>4.1870000000000003</v>
      </c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196"/>
      <c r="AD30" s="27"/>
      <c r="AE30" s="213"/>
      <c r="AF30" s="212">
        <f t="shared" si="10"/>
        <v>0</v>
      </c>
      <c r="AG30" s="212"/>
      <c r="AH30" s="212"/>
      <c r="AI30" s="212"/>
      <c r="AJ30" s="212"/>
      <c r="AK30" s="212"/>
      <c r="AL30" s="212"/>
      <c r="AM30" s="212"/>
      <c r="AN30" s="212"/>
      <c r="AO30" s="212"/>
      <c r="AP30" s="196"/>
      <c r="AQ30" s="196"/>
      <c r="AR30" s="211"/>
      <c r="AS30" s="212">
        <f t="shared" si="2"/>
        <v>0</v>
      </c>
      <c r="AT30" s="212">
        <f>[1]!LIM(AT29+Mode*r0*((1+IntegrationStep/2/Ti+Td/IntegrationStep)*AS30-(1-IntegrationStep/2/Ti+2*Td/IntegrationStep)*AS29+Td/IntegrationStep*AS28))</f>
        <v>0.5</v>
      </c>
      <c r="AU30" s="212">
        <f t="shared" si="3"/>
        <v>40.794124671602574</v>
      </c>
      <c r="AW30" s="58"/>
      <c r="AX30" s="58"/>
      <c r="AY30" s="58"/>
      <c r="AZ30" s="58"/>
    </row>
    <row r="31" spans="1:52" s="185" customFormat="1" ht="15" customHeight="1" x14ac:dyDescent="0.25">
      <c r="A31" s="200"/>
      <c r="B31" s="211"/>
      <c r="C31" s="212">
        <f t="shared" si="4"/>
        <v>2.0000000000000004</v>
      </c>
      <c r="D31" s="212">
        <f>15</f>
        <v>15</v>
      </c>
      <c r="E31" s="212">
        <f t="shared" si="6"/>
        <v>40.794124671602574</v>
      </c>
      <c r="F31" s="212">
        <f t="shared" si="7"/>
        <v>0.5</v>
      </c>
      <c r="G31" s="212">
        <f>5</f>
        <v>5</v>
      </c>
      <c r="H31" s="212">
        <f t="shared" si="5"/>
        <v>60</v>
      </c>
      <c r="I31" s="212">
        <f t="shared" si="8"/>
        <v>0.9</v>
      </c>
      <c r="J31" s="212">
        <f>1</f>
        <v>1</v>
      </c>
      <c r="K31" s="212">
        <f t="shared" si="9"/>
        <v>4.1870000000000003</v>
      </c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196"/>
      <c r="AD31" s="27"/>
      <c r="AE31" s="213"/>
      <c r="AF31" s="212">
        <f t="shared" si="10"/>
        <v>0</v>
      </c>
      <c r="AG31" s="212"/>
      <c r="AH31" s="212"/>
      <c r="AI31" s="212"/>
      <c r="AJ31" s="212"/>
      <c r="AK31" s="212"/>
      <c r="AL31" s="212"/>
      <c r="AM31" s="212"/>
      <c r="AN31" s="212"/>
      <c r="AO31" s="212"/>
      <c r="AP31" s="196"/>
      <c r="AQ31" s="196"/>
      <c r="AR31" s="211"/>
      <c r="AS31" s="212">
        <f t="shared" si="2"/>
        <v>0</v>
      </c>
      <c r="AT31" s="212">
        <f>[1]!LIM(AT30+Mode*r0*((1+IntegrationStep/2/Ti+Td/IntegrationStep)*AS31-(1-IntegrationStep/2/Ti+2*Td/IntegrationStep)*AS30+Td/IntegrationStep*AS29))</f>
        <v>0.5</v>
      </c>
      <c r="AU31" s="212">
        <f t="shared" si="3"/>
        <v>40.794124671602574</v>
      </c>
      <c r="AW31" s="58"/>
      <c r="AX31" s="58"/>
      <c r="AY31" s="58"/>
      <c r="AZ31" s="58"/>
    </row>
    <row r="32" spans="1:52" s="185" customFormat="1" ht="15" customHeight="1" x14ac:dyDescent="0.25">
      <c r="A32" s="200"/>
      <c r="B32" s="211"/>
      <c r="C32" s="212">
        <f t="shared" si="4"/>
        <v>2.1000000000000005</v>
      </c>
      <c r="D32" s="212">
        <f>15</f>
        <v>15</v>
      </c>
      <c r="E32" s="212">
        <f t="shared" si="6"/>
        <v>40.794124671602574</v>
      </c>
      <c r="F32" s="212">
        <f t="shared" si="7"/>
        <v>0.5</v>
      </c>
      <c r="G32" s="212">
        <f>5</f>
        <v>5</v>
      </c>
      <c r="H32" s="212">
        <f t="shared" si="5"/>
        <v>60</v>
      </c>
      <c r="I32" s="212">
        <f t="shared" si="8"/>
        <v>0.9</v>
      </c>
      <c r="J32" s="212">
        <f>1</f>
        <v>1</v>
      </c>
      <c r="K32" s="212">
        <f t="shared" si="9"/>
        <v>4.1870000000000003</v>
      </c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196"/>
      <c r="AD32" s="27"/>
      <c r="AE32" s="213"/>
      <c r="AF32" s="212">
        <f t="shared" si="10"/>
        <v>0</v>
      </c>
      <c r="AG32" s="212"/>
      <c r="AH32" s="212"/>
      <c r="AI32" s="212"/>
      <c r="AJ32" s="212"/>
      <c r="AK32" s="212"/>
      <c r="AL32" s="212"/>
      <c r="AM32" s="212"/>
      <c r="AN32" s="212"/>
      <c r="AO32" s="212"/>
      <c r="AP32" s="196"/>
      <c r="AQ32" s="196"/>
      <c r="AR32" s="211"/>
      <c r="AS32" s="212">
        <f t="shared" si="2"/>
        <v>0</v>
      </c>
      <c r="AT32" s="212">
        <f>[1]!LIM(AT31+Mode*r0*((1+IntegrationStep/2/Ti+Td/IntegrationStep)*AS32-(1-IntegrationStep/2/Ti+2*Td/IntegrationStep)*AS31+Td/IntegrationStep*AS30))</f>
        <v>0.5</v>
      </c>
      <c r="AU32" s="212">
        <f t="shared" si="3"/>
        <v>40.794124671602574</v>
      </c>
      <c r="AW32" s="58"/>
      <c r="AX32" s="58"/>
      <c r="AY32" s="58"/>
      <c r="AZ32" s="58"/>
    </row>
    <row r="33" spans="1:52" s="185" customFormat="1" ht="15" customHeight="1" x14ac:dyDescent="0.25">
      <c r="A33" s="200"/>
      <c r="B33" s="211"/>
      <c r="C33" s="212">
        <f t="shared" si="4"/>
        <v>2.2000000000000006</v>
      </c>
      <c r="D33" s="212">
        <f>15</f>
        <v>15</v>
      </c>
      <c r="E33" s="212">
        <f t="shared" si="6"/>
        <v>40.794124671602574</v>
      </c>
      <c r="F33" s="212">
        <f t="shared" si="7"/>
        <v>0.5</v>
      </c>
      <c r="G33" s="212">
        <f>5</f>
        <v>5</v>
      </c>
      <c r="H33" s="212">
        <f t="shared" si="5"/>
        <v>60</v>
      </c>
      <c r="I33" s="212">
        <f t="shared" si="8"/>
        <v>0.9</v>
      </c>
      <c r="J33" s="212">
        <f>1</f>
        <v>1</v>
      </c>
      <c r="K33" s="212">
        <f t="shared" si="9"/>
        <v>4.1870000000000003</v>
      </c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/>
      <c r="AC33" s="196"/>
      <c r="AD33" s="27"/>
      <c r="AE33" s="213"/>
      <c r="AF33" s="212">
        <f t="shared" si="10"/>
        <v>0</v>
      </c>
      <c r="AG33" s="212"/>
      <c r="AH33" s="212"/>
      <c r="AI33" s="212"/>
      <c r="AJ33" s="212"/>
      <c r="AK33" s="212"/>
      <c r="AL33" s="212"/>
      <c r="AM33" s="212"/>
      <c r="AN33" s="212"/>
      <c r="AO33" s="212"/>
      <c r="AP33" s="196"/>
      <c r="AQ33" s="196"/>
      <c r="AR33" s="211"/>
      <c r="AS33" s="212">
        <f t="shared" si="2"/>
        <v>0</v>
      </c>
      <c r="AT33" s="212">
        <f>[1]!LIM(AT32+Mode*r0*((1+IntegrationStep/2/Ti+Td/IntegrationStep)*AS33-(1-IntegrationStep/2/Ti+2*Td/IntegrationStep)*AS32+Td/IntegrationStep*AS31))</f>
        <v>0.5</v>
      </c>
      <c r="AU33" s="212">
        <f t="shared" si="3"/>
        <v>40.794124671602574</v>
      </c>
      <c r="AW33" s="58"/>
      <c r="AX33" s="58"/>
      <c r="AY33" s="58"/>
      <c r="AZ33" s="58"/>
    </row>
    <row r="34" spans="1:52" s="185" customFormat="1" ht="15" customHeight="1" x14ac:dyDescent="0.25">
      <c r="A34" s="200"/>
      <c r="B34" s="211"/>
      <c r="C34" s="212">
        <f t="shared" si="4"/>
        <v>2.3000000000000007</v>
      </c>
      <c r="D34" s="212">
        <f>15</f>
        <v>15</v>
      </c>
      <c r="E34" s="212">
        <f t="shared" si="6"/>
        <v>40.794124671602574</v>
      </c>
      <c r="F34" s="212">
        <f t="shared" si="7"/>
        <v>0.5</v>
      </c>
      <c r="G34" s="212">
        <f>5</f>
        <v>5</v>
      </c>
      <c r="H34" s="212">
        <f t="shared" si="5"/>
        <v>60</v>
      </c>
      <c r="I34" s="212">
        <f t="shared" si="8"/>
        <v>0.9</v>
      </c>
      <c r="J34" s="212">
        <f>1</f>
        <v>1</v>
      </c>
      <c r="K34" s="212">
        <f t="shared" si="9"/>
        <v>4.1870000000000003</v>
      </c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196"/>
      <c r="AD34" s="27"/>
      <c r="AE34" s="213"/>
      <c r="AF34" s="212">
        <f t="shared" si="10"/>
        <v>0</v>
      </c>
      <c r="AG34" s="212"/>
      <c r="AH34" s="212"/>
      <c r="AI34" s="212"/>
      <c r="AJ34" s="212"/>
      <c r="AK34" s="212"/>
      <c r="AL34" s="212"/>
      <c r="AM34" s="212"/>
      <c r="AN34" s="212"/>
      <c r="AO34" s="212"/>
      <c r="AP34" s="196"/>
      <c r="AQ34" s="196"/>
      <c r="AR34" s="211"/>
      <c r="AS34" s="212">
        <f t="shared" si="2"/>
        <v>0</v>
      </c>
      <c r="AT34" s="212">
        <f>[1]!LIM(AT33+Mode*r0*((1+IntegrationStep/2/Ti+Td/IntegrationStep)*AS34-(1-IntegrationStep/2/Ti+2*Td/IntegrationStep)*AS33+Td/IntegrationStep*AS32))</f>
        <v>0.5</v>
      </c>
      <c r="AU34" s="212">
        <f t="shared" si="3"/>
        <v>40.794124671602574</v>
      </c>
      <c r="AW34" s="58"/>
      <c r="AX34" s="58"/>
      <c r="AY34" s="58"/>
      <c r="AZ34" s="58"/>
    </row>
    <row r="35" spans="1:52" s="185" customFormat="1" ht="15" customHeight="1" x14ac:dyDescent="0.25">
      <c r="A35" s="200"/>
      <c r="B35" s="211"/>
      <c r="C35" s="212">
        <f t="shared" si="4"/>
        <v>2.4000000000000008</v>
      </c>
      <c r="D35" s="212">
        <f>15</f>
        <v>15</v>
      </c>
      <c r="E35" s="212">
        <f t="shared" si="6"/>
        <v>40.794124671602574</v>
      </c>
      <c r="F35" s="212">
        <f t="shared" si="7"/>
        <v>0.5</v>
      </c>
      <c r="G35" s="212">
        <f>5</f>
        <v>5</v>
      </c>
      <c r="H35" s="212">
        <f t="shared" si="5"/>
        <v>60</v>
      </c>
      <c r="I35" s="212">
        <f t="shared" si="8"/>
        <v>0.9</v>
      </c>
      <c r="J35" s="212">
        <f>1</f>
        <v>1</v>
      </c>
      <c r="K35" s="212">
        <f t="shared" si="9"/>
        <v>4.1870000000000003</v>
      </c>
      <c r="L35" s="212"/>
      <c r="M35" s="212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196"/>
      <c r="AD35" s="27"/>
      <c r="AE35" s="213"/>
      <c r="AF35" s="212">
        <f t="shared" si="10"/>
        <v>0</v>
      </c>
      <c r="AG35" s="212"/>
      <c r="AH35" s="212"/>
      <c r="AI35" s="212"/>
      <c r="AJ35" s="212"/>
      <c r="AK35" s="212"/>
      <c r="AL35" s="212"/>
      <c r="AM35" s="212"/>
      <c r="AN35" s="212"/>
      <c r="AO35" s="212"/>
      <c r="AP35" s="196"/>
      <c r="AQ35" s="196"/>
      <c r="AR35" s="211"/>
      <c r="AS35" s="212">
        <f t="shared" si="2"/>
        <v>0</v>
      </c>
      <c r="AT35" s="212">
        <f>[1]!LIM(AT34+Mode*r0*((1+IntegrationStep/2/Ti+Td/IntegrationStep)*AS35-(1-IntegrationStep/2/Ti+2*Td/IntegrationStep)*AS34+Td/IntegrationStep*AS33))</f>
        <v>0.5</v>
      </c>
      <c r="AU35" s="212">
        <f t="shared" si="3"/>
        <v>40.794124671602574</v>
      </c>
      <c r="AW35" s="58"/>
      <c r="AX35" s="58"/>
      <c r="AY35" s="58"/>
      <c r="AZ35" s="58"/>
    </row>
    <row r="36" spans="1:52" s="185" customFormat="1" ht="15" customHeight="1" x14ac:dyDescent="0.25">
      <c r="A36" s="200"/>
      <c r="B36" s="211"/>
      <c r="C36" s="212">
        <f t="shared" si="4"/>
        <v>2.5000000000000009</v>
      </c>
      <c r="D36" s="212">
        <f>15</f>
        <v>15</v>
      </c>
      <c r="E36" s="212">
        <f t="shared" si="6"/>
        <v>40.794124671602574</v>
      </c>
      <c r="F36" s="212">
        <f t="shared" si="7"/>
        <v>0.5</v>
      </c>
      <c r="G36" s="212">
        <f>5</f>
        <v>5</v>
      </c>
      <c r="H36" s="212">
        <f t="shared" si="5"/>
        <v>60</v>
      </c>
      <c r="I36" s="212">
        <f t="shared" si="8"/>
        <v>0.9</v>
      </c>
      <c r="J36" s="212">
        <f>1</f>
        <v>1</v>
      </c>
      <c r="K36" s="212">
        <f t="shared" si="9"/>
        <v>4.1870000000000003</v>
      </c>
      <c r="L36" s="212"/>
      <c r="M36" s="212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  <c r="AB36" s="212"/>
      <c r="AC36" s="196"/>
      <c r="AD36" s="27"/>
      <c r="AE36" s="213"/>
      <c r="AF36" s="212">
        <f t="shared" si="10"/>
        <v>0</v>
      </c>
      <c r="AG36" s="212"/>
      <c r="AH36" s="212"/>
      <c r="AI36" s="212"/>
      <c r="AJ36" s="212"/>
      <c r="AK36" s="212"/>
      <c r="AL36" s="212"/>
      <c r="AM36" s="212"/>
      <c r="AN36" s="212"/>
      <c r="AO36" s="212"/>
      <c r="AP36" s="196"/>
      <c r="AQ36" s="196"/>
      <c r="AR36" s="211"/>
      <c r="AS36" s="212">
        <f t="shared" si="2"/>
        <v>0</v>
      </c>
      <c r="AT36" s="212">
        <f>[1]!LIM(AT35+Mode*r0*((1+IntegrationStep/2/Ti+Td/IntegrationStep)*AS36-(1-IntegrationStep/2/Ti+2*Td/IntegrationStep)*AS35+Td/IntegrationStep*AS34))</f>
        <v>0.5</v>
      </c>
      <c r="AU36" s="212">
        <f t="shared" si="3"/>
        <v>40.794124671602574</v>
      </c>
      <c r="AW36" s="58"/>
      <c r="AX36" s="58"/>
      <c r="AY36" s="58"/>
      <c r="AZ36" s="58"/>
    </row>
    <row r="37" spans="1:52" s="185" customFormat="1" ht="15" customHeight="1" x14ac:dyDescent="0.25">
      <c r="A37" s="200"/>
      <c r="B37" s="211"/>
      <c r="C37" s="212">
        <f t="shared" si="4"/>
        <v>2.600000000000001</v>
      </c>
      <c r="D37" s="212">
        <f>15</f>
        <v>15</v>
      </c>
      <c r="E37" s="212">
        <f t="shared" si="6"/>
        <v>40.794124671602574</v>
      </c>
      <c r="F37" s="212">
        <f t="shared" si="7"/>
        <v>0.5</v>
      </c>
      <c r="G37" s="212">
        <f>5</f>
        <v>5</v>
      </c>
      <c r="H37" s="212">
        <f t="shared" si="5"/>
        <v>60</v>
      </c>
      <c r="I37" s="212">
        <f t="shared" si="8"/>
        <v>0.9</v>
      </c>
      <c r="J37" s="212">
        <f>1</f>
        <v>1</v>
      </c>
      <c r="K37" s="212">
        <f t="shared" si="9"/>
        <v>4.1870000000000003</v>
      </c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196"/>
      <c r="AD37" s="27"/>
      <c r="AE37" s="213"/>
      <c r="AF37" s="212">
        <f t="shared" si="10"/>
        <v>0</v>
      </c>
      <c r="AG37" s="212"/>
      <c r="AH37" s="212"/>
      <c r="AI37" s="212"/>
      <c r="AJ37" s="212"/>
      <c r="AK37" s="212"/>
      <c r="AL37" s="212"/>
      <c r="AM37" s="212"/>
      <c r="AN37" s="212"/>
      <c r="AO37" s="212"/>
      <c r="AP37" s="196"/>
      <c r="AQ37" s="196"/>
      <c r="AR37" s="211"/>
      <c r="AS37" s="212">
        <f t="shared" si="2"/>
        <v>0</v>
      </c>
      <c r="AT37" s="212">
        <f>[1]!LIM(AT36+Mode*r0*((1+IntegrationStep/2/Ti+Td/IntegrationStep)*AS37-(1-IntegrationStep/2/Ti+2*Td/IntegrationStep)*AS36+Td/IntegrationStep*AS35))</f>
        <v>0.5</v>
      </c>
      <c r="AU37" s="212">
        <f t="shared" si="3"/>
        <v>40.794124671602574</v>
      </c>
      <c r="AW37" s="58"/>
      <c r="AX37" s="58"/>
      <c r="AY37" s="58"/>
      <c r="AZ37" s="58"/>
    </row>
    <row r="38" spans="1:52" s="185" customFormat="1" ht="15" customHeight="1" x14ac:dyDescent="0.25">
      <c r="A38" s="200"/>
      <c r="B38" s="211"/>
      <c r="C38" s="212">
        <f t="shared" si="4"/>
        <v>2.7000000000000011</v>
      </c>
      <c r="D38" s="212">
        <f>15</f>
        <v>15</v>
      </c>
      <c r="E38" s="212">
        <f t="shared" si="6"/>
        <v>40.794124671602574</v>
      </c>
      <c r="F38" s="212">
        <f t="shared" si="7"/>
        <v>0.5</v>
      </c>
      <c r="G38" s="212">
        <f>5</f>
        <v>5</v>
      </c>
      <c r="H38" s="212">
        <f t="shared" si="5"/>
        <v>60</v>
      </c>
      <c r="I38" s="212">
        <f t="shared" si="8"/>
        <v>0.9</v>
      </c>
      <c r="J38" s="212">
        <f>1</f>
        <v>1</v>
      </c>
      <c r="K38" s="212">
        <f t="shared" si="9"/>
        <v>4.1870000000000003</v>
      </c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196"/>
      <c r="AD38" s="27"/>
      <c r="AE38" s="213"/>
      <c r="AF38" s="212">
        <f t="shared" si="10"/>
        <v>0</v>
      </c>
      <c r="AG38" s="212"/>
      <c r="AH38" s="212"/>
      <c r="AI38" s="212"/>
      <c r="AJ38" s="212"/>
      <c r="AK38" s="212"/>
      <c r="AL38" s="212"/>
      <c r="AM38" s="212"/>
      <c r="AN38" s="212"/>
      <c r="AO38" s="212"/>
      <c r="AP38" s="196"/>
      <c r="AQ38" s="196"/>
      <c r="AR38" s="211"/>
      <c r="AS38" s="212">
        <f t="shared" si="2"/>
        <v>0</v>
      </c>
      <c r="AT38" s="212">
        <f>[1]!LIM(AT37+Mode*r0*((1+IntegrationStep/2/Ti+Td/IntegrationStep)*AS38-(1-IntegrationStep/2/Ti+2*Td/IntegrationStep)*AS37+Td/IntegrationStep*AS36))</f>
        <v>0.5</v>
      </c>
      <c r="AU38" s="212">
        <f t="shared" si="3"/>
        <v>40.794124671602574</v>
      </c>
      <c r="AW38" s="58"/>
      <c r="AX38" s="58"/>
      <c r="AY38" s="58"/>
      <c r="AZ38" s="58"/>
    </row>
    <row r="39" spans="1:52" s="185" customFormat="1" ht="15" customHeight="1" x14ac:dyDescent="0.25">
      <c r="A39" s="200"/>
      <c r="B39" s="211"/>
      <c r="C39" s="212">
        <f t="shared" si="4"/>
        <v>2.8000000000000012</v>
      </c>
      <c r="D39" s="212">
        <f>15</f>
        <v>15</v>
      </c>
      <c r="E39" s="212">
        <f t="shared" si="6"/>
        <v>40.794124671602574</v>
      </c>
      <c r="F39" s="212">
        <f t="shared" si="7"/>
        <v>0.5</v>
      </c>
      <c r="G39" s="212">
        <f>5</f>
        <v>5</v>
      </c>
      <c r="H39" s="212">
        <f t="shared" si="5"/>
        <v>60</v>
      </c>
      <c r="I39" s="212">
        <f t="shared" si="8"/>
        <v>0.9</v>
      </c>
      <c r="J39" s="212">
        <f>1</f>
        <v>1</v>
      </c>
      <c r="K39" s="212">
        <f t="shared" si="9"/>
        <v>4.1870000000000003</v>
      </c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196"/>
      <c r="AD39" s="27"/>
      <c r="AE39" s="213"/>
      <c r="AF39" s="212">
        <f t="shared" si="10"/>
        <v>0</v>
      </c>
      <c r="AG39" s="212"/>
      <c r="AH39" s="212"/>
      <c r="AI39" s="212"/>
      <c r="AJ39" s="212"/>
      <c r="AK39" s="212"/>
      <c r="AL39" s="212"/>
      <c r="AM39" s="212"/>
      <c r="AN39" s="212"/>
      <c r="AO39" s="212"/>
      <c r="AP39" s="196"/>
      <c r="AQ39" s="196"/>
      <c r="AR39" s="211"/>
      <c r="AS39" s="212">
        <f t="shared" si="2"/>
        <v>0</v>
      </c>
      <c r="AT39" s="212">
        <f>[1]!LIM(AT38+Mode*r0*((1+IntegrationStep/2/Ti+Td/IntegrationStep)*AS39-(1-IntegrationStep/2/Ti+2*Td/IntegrationStep)*AS38+Td/IntegrationStep*AS37))</f>
        <v>0.5</v>
      </c>
      <c r="AU39" s="212">
        <f t="shared" si="3"/>
        <v>40.794124671602574</v>
      </c>
      <c r="AW39" s="58"/>
      <c r="AX39" s="58"/>
      <c r="AY39" s="58"/>
      <c r="AZ39" s="58"/>
    </row>
    <row r="40" spans="1:52" s="185" customFormat="1" ht="15" customHeight="1" x14ac:dyDescent="0.25">
      <c r="A40" s="200"/>
      <c r="B40" s="211"/>
      <c r="C40" s="212">
        <f t="shared" si="4"/>
        <v>2.9000000000000012</v>
      </c>
      <c r="D40" s="212">
        <f>15</f>
        <v>15</v>
      </c>
      <c r="E40" s="212">
        <f t="shared" si="6"/>
        <v>40.794124671602574</v>
      </c>
      <c r="F40" s="212">
        <f t="shared" si="7"/>
        <v>0.5</v>
      </c>
      <c r="G40" s="212">
        <f>5</f>
        <v>5</v>
      </c>
      <c r="H40" s="212">
        <f t="shared" si="5"/>
        <v>60</v>
      </c>
      <c r="I40" s="212">
        <f t="shared" si="8"/>
        <v>0.9</v>
      </c>
      <c r="J40" s="212">
        <f>1</f>
        <v>1</v>
      </c>
      <c r="K40" s="212">
        <f t="shared" si="9"/>
        <v>4.1870000000000003</v>
      </c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196"/>
      <c r="AD40" s="27"/>
      <c r="AE40" s="213"/>
      <c r="AF40" s="212">
        <f t="shared" si="10"/>
        <v>0</v>
      </c>
      <c r="AG40" s="212"/>
      <c r="AH40" s="212"/>
      <c r="AI40" s="212"/>
      <c r="AJ40" s="212"/>
      <c r="AK40" s="212"/>
      <c r="AL40" s="212"/>
      <c r="AM40" s="212"/>
      <c r="AN40" s="212"/>
      <c r="AO40" s="212"/>
      <c r="AP40" s="196"/>
      <c r="AQ40" s="196"/>
      <c r="AR40" s="211"/>
      <c r="AS40" s="212">
        <f t="shared" si="2"/>
        <v>0</v>
      </c>
      <c r="AT40" s="212">
        <f>[1]!LIM(AT39+Mode*r0*((1+IntegrationStep/2/Ti+Td/IntegrationStep)*AS40-(1-IntegrationStep/2/Ti+2*Td/IntegrationStep)*AS39+Td/IntegrationStep*AS38))</f>
        <v>0.5</v>
      </c>
      <c r="AU40" s="212">
        <f t="shared" si="3"/>
        <v>40.794124671602574</v>
      </c>
      <c r="AW40" s="58"/>
      <c r="AX40" s="58"/>
      <c r="AY40" s="58"/>
      <c r="AZ40" s="58"/>
    </row>
    <row r="41" spans="1:52" s="185" customFormat="1" ht="15" customHeight="1" x14ac:dyDescent="0.25">
      <c r="A41" s="200"/>
      <c r="B41" s="211"/>
      <c r="C41" s="212">
        <f t="shared" si="4"/>
        <v>3.0000000000000013</v>
      </c>
      <c r="D41" s="212">
        <f>15</f>
        <v>15</v>
      </c>
      <c r="E41" s="212">
        <f t="shared" si="6"/>
        <v>40.794124671602574</v>
      </c>
      <c r="F41" s="212">
        <f t="shared" si="7"/>
        <v>0.5</v>
      </c>
      <c r="G41" s="212">
        <f>5</f>
        <v>5</v>
      </c>
      <c r="H41" s="212">
        <f t="shared" si="5"/>
        <v>60</v>
      </c>
      <c r="I41" s="212">
        <f t="shared" si="8"/>
        <v>0.9</v>
      </c>
      <c r="J41" s="212">
        <f>1</f>
        <v>1</v>
      </c>
      <c r="K41" s="212">
        <f t="shared" si="9"/>
        <v>4.1870000000000003</v>
      </c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196"/>
      <c r="AD41" s="27"/>
      <c r="AE41" s="213"/>
      <c r="AF41" s="212">
        <f t="shared" si="10"/>
        <v>0</v>
      </c>
      <c r="AG41" s="212"/>
      <c r="AH41" s="212"/>
      <c r="AI41" s="212"/>
      <c r="AJ41" s="212"/>
      <c r="AK41" s="212"/>
      <c r="AL41" s="212"/>
      <c r="AM41" s="212"/>
      <c r="AN41" s="212"/>
      <c r="AO41" s="212"/>
      <c r="AP41" s="196"/>
      <c r="AQ41" s="196"/>
      <c r="AR41" s="211"/>
      <c r="AS41" s="212">
        <f t="shared" si="2"/>
        <v>0</v>
      </c>
      <c r="AT41" s="212">
        <f>[1]!LIM(AT40+Mode*r0*((1+IntegrationStep/2/Ti+Td/IntegrationStep)*AS41-(1-IntegrationStep/2/Ti+2*Td/IntegrationStep)*AS40+Td/IntegrationStep*AS39))</f>
        <v>0.5</v>
      </c>
      <c r="AU41" s="212">
        <f t="shared" si="3"/>
        <v>40.794124671602574</v>
      </c>
      <c r="AW41" s="58"/>
      <c r="AX41" s="58"/>
      <c r="AY41" s="58"/>
      <c r="AZ41" s="58"/>
    </row>
    <row r="42" spans="1:52" s="185" customFormat="1" ht="15" customHeight="1" x14ac:dyDescent="0.25">
      <c r="A42" s="200"/>
      <c r="B42" s="211"/>
      <c r="C42" s="212">
        <f t="shared" si="4"/>
        <v>3.1000000000000014</v>
      </c>
      <c r="D42" s="212">
        <f>15</f>
        <v>15</v>
      </c>
      <c r="E42" s="212">
        <f t="shared" si="6"/>
        <v>40.794124671602574</v>
      </c>
      <c r="F42" s="212">
        <f t="shared" si="7"/>
        <v>0.5</v>
      </c>
      <c r="G42" s="212">
        <f>5</f>
        <v>5</v>
      </c>
      <c r="H42" s="212">
        <f t="shared" si="5"/>
        <v>60</v>
      </c>
      <c r="I42" s="212">
        <f t="shared" si="8"/>
        <v>0.9</v>
      </c>
      <c r="J42" s="212">
        <f>1</f>
        <v>1</v>
      </c>
      <c r="K42" s="212">
        <f t="shared" si="9"/>
        <v>4.1870000000000003</v>
      </c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196"/>
      <c r="AD42" s="27"/>
      <c r="AE42" s="213"/>
      <c r="AF42" s="212">
        <f t="shared" si="10"/>
        <v>0</v>
      </c>
      <c r="AG42" s="212"/>
      <c r="AH42" s="212"/>
      <c r="AI42" s="212"/>
      <c r="AJ42" s="212"/>
      <c r="AK42" s="212"/>
      <c r="AL42" s="212"/>
      <c r="AM42" s="212"/>
      <c r="AN42" s="212"/>
      <c r="AO42" s="212"/>
      <c r="AP42" s="196"/>
      <c r="AQ42" s="196"/>
      <c r="AR42" s="211"/>
      <c r="AS42" s="212">
        <f t="shared" si="2"/>
        <v>0</v>
      </c>
      <c r="AT42" s="212">
        <f>[1]!LIM(AT41+Mode*r0*((1+IntegrationStep/2/Ti+Td/IntegrationStep)*AS42-(1-IntegrationStep/2/Ti+2*Td/IntegrationStep)*AS41+Td/IntegrationStep*AS40))</f>
        <v>0.5</v>
      </c>
      <c r="AU42" s="212">
        <f t="shared" si="3"/>
        <v>40.794124671602574</v>
      </c>
      <c r="AW42" s="58"/>
      <c r="AX42" s="58"/>
      <c r="AY42" s="58"/>
      <c r="AZ42" s="58"/>
    </row>
    <row r="43" spans="1:52" s="185" customFormat="1" ht="15" customHeight="1" x14ac:dyDescent="0.25">
      <c r="A43" s="200"/>
      <c r="B43" s="211"/>
      <c r="C43" s="212">
        <f t="shared" si="4"/>
        <v>3.2000000000000015</v>
      </c>
      <c r="D43" s="212">
        <f>15</f>
        <v>15</v>
      </c>
      <c r="E43" s="212">
        <f t="shared" si="6"/>
        <v>40.794124671602574</v>
      </c>
      <c r="F43" s="212">
        <f t="shared" si="7"/>
        <v>0.5</v>
      </c>
      <c r="G43" s="212">
        <f>5</f>
        <v>5</v>
      </c>
      <c r="H43" s="212">
        <f t="shared" si="5"/>
        <v>60</v>
      </c>
      <c r="I43" s="212">
        <f t="shared" si="8"/>
        <v>0.9</v>
      </c>
      <c r="J43" s="212">
        <f>1</f>
        <v>1</v>
      </c>
      <c r="K43" s="212">
        <f t="shared" si="9"/>
        <v>4.1870000000000003</v>
      </c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196"/>
      <c r="AD43" s="27"/>
      <c r="AE43" s="213"/>
      <c r="AF43" s="212">
        <f t="shared" si="10"/>
        <v>0</v>
      </c>
      <c r="AG43" s="212"/>
      <c r="AH43" s="212"/>
      <c r="AI43" s="212"/>
      <c r="AJ43" s="212"/>
      <c r="AK43" s="212"/>
      <c r="AL43" s="212"/>
      <c r="AM43" s="212"/>
      <c r="AN43" s="212"/>
      <c r="AO43" s="212"/>
      <c r="AP43" s="196"/>
      <c r="AQ43" s="196"/>
      <c r="AR43" s="211"/>
      <c r="AS43" s="212">
        <f t="shared" si="2"/>
        <v>0</v>
      </c>
      <c r="AT43" s="212">
        <f>[1]!LIM(AT42+Mode*r0*((1+IntegrationStep/2/Ti+Td/IntegrationStep)*AS43-(1-IntegrationStep/2/Ti+2*Td/IntegrationStep)*AS42+Td/IntegrationStep*AS41))</f>
        <v>0.5</v>
      </c>
      <c r="AU43" s="212">
        <f t="shared" si="3"/>
        <v>40.794124671602574</v>
      </c>
      <c r="AW43" s="58"/>
      <c r="AX43" s="58"/>
      <c r="AY43" s="58"/>
      <c r="AZ43" s="58"/>
    </row>
    <row r="44" spans="1:52" s="185" customFormat="1" ht="15" customHeight="1" x14ac:dyDescent="0.25">
      <c r="A44" s="200"/>
      <c r="B44" s="211"/>
      <c r="C44" s="212">
        <f t="shared" si="4"/>
        <v>3.3000000000000016</v>
      </c>
      <c r="D44" s="212">
        <f>15</f>
        <v>15</v>
      </c>
      <c r="E44" s="212">
        <f t="shared" si="6"/>
        <v>40.794124671602574</v>
      </c>
      <c r="F44" s="212">
        <f t="shared" si="7"/>
        <v>0.5</v>
      </c>
      <c r="G44" s="212">
        <f>5</f>
        <v>5</v>
      </c>
      <c r="H44" s="212">
        <f t="shared" si="5"/>
        <v>60</v>
      </c>
      <c r="I44" s="212">
        <f t="shared" si="8"/>
        <v>0.9</v>
      </c>
      <c r="J44" s="212">
        <f>1</f>
        <v>1</v>
      </c>
      <c r="K44" s="212">
        <f t="shared" si="9"/>
        <v>4.1870000000000003</v>
      </c>
      <c r="L44" s="212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196"/>
      <c r="AD44" s="27"/>
      <c r="AE44" s="213"/>
      <c r="AF44" s="212">
        <f t="shared" si="10"/>
        <v>0</v>
      </c>
      <c r="AG44" s="212"/>
      <c r="AH44" s="212"/>
      <c r="AI44" s="212"/>
      <c r="AJ44" s="212"/>
      <c r="AK44" s="212"/>
      <c r="AL44" s="212"/>
      <c r="AM44" s="212"/>
      <c r="AN44" s="212"/>
      <c r="AO44" s="212"/>
      <c r="AP44" s="196"/>
      <c r="AQ44" s="196"/>
      <c r="AR44" s="211"/>
      <c r="AS44" s="212">
        <f t="shared" si="2"/>
        <v>0</v>
      </c>
      <c r="AT44" s="212">
        <f>[1]!LIM(AT43+Mode*r0*((1+IntegrationStep/2/Ti+Td/IntegrationStep)*AS44-(1-IntegrationStep/2/Ti+2*Td/IntegrationStep)*AS43+Td/IntegrationStep*AS42))</f>
        <v>0.5</v>
      </c>
      <c r="AU44" s="212">
        <f t="shared" si="3"/>
        <v>40.794124671602574</v>
      </c>
      <c r="AW44" s="58"/>
      <c r="AX44" s="58"/>
      <c r="AY44" s="58"/>
      <c r="AZ44" s="58"/>
    </row>
    <row r="45" spans="1:52" s="185" customFormat="1" ht="15" customHeight="1" x14ac:dyDescent="0.25">
      <c r="A45" s="200"/>
      <c r="B45" s="211"/>
      <c r="C45" s="212">
        <f t="shared" si="4"/>
        <v>3.4000000000000017</v>
      </c>
      <c r="D45" s="212">
        <f>15</f>
        <v>15</v>
      </c>
      <c r="E45" s="212">
        <f t="shared" si="6"/>
        <v>40.794124671602574</v>
      </c>
      <c r="F45" s="212">
        <f t="shared" si="7"/>
        <v>0.5</v>
      </c>
      <c r="G45" s="212">
        <f>5</f>
        <v>5</v>
      </c>
      <c r="H45" s="212">
        <f t="shared" si="5"/>
        <v>60</v>
      </c>
      <c r="I45" s="212">
        <f t="shared" si="8"/>
        <v>0.9</v>
      </c>
      <c r="J45" s="212">
        <f>1</f>
        <v>1</v>
      </c>
      <c r="K45" s="212">
        <f t="shared" si="9"/>
        <v>4.1870000000000003</v>
      </c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196"/>
      <c r="AD45" s="27"/>
      <c r="AE45" s="213"/>
      <c r="AF45" s="212">
        <f t="shared" si="10"/>
        <v>0</v>
      </c>
      <c r="AG45" s="212"/>
      <c r="AH45" s="212"/>
      <c r="AI45" s="212"/>
      <c r="AJ45" s="212"/>
      <c r="AK45" s="212"/>
      <c r="AL45" s="212"/>
      <c r="AM45" s="212"/>
      <c r="AN45" s="212"/>
      <c r="AO45" s="212"/>
      <c r="AP45" s="196"/>
      <c r="AQ45" s="196"/>
      <c r="AR45" s="211"/>
      <c r="AS45" s="212">
        <f t="shared" si="2"/>
        <v>0</v>
      </c>
      <c r="AT45" s="212">
        <f>[1]!LIM(AT44+Mode*r0*((1+IntegrationStep/2/Ti+Td/IntegrationStep)*AS45-(1-IntegrationStep/2/Ti+2*Td/IntegrationStep)*AS44+Td/IntegrationStep*AS43))</f>
        <v>0.5</v>
      </c>
      <c r="AU45" s="212">
        <f t="shared" si="3"/>
        <v>40.794124671602574</v>
      </c>
      <c r="AW45" s="58"/>
      <c r="AX45" s="58"/>
      <c r="AY45" s="58"/>
      <c r="AZ45" s="58"/>
    </row>
    <row r="46" spans="1:52" s="185" customFormat="1" ht="15" customHeight="1" x14ac:dyDescent="0.25">
      <c r="A46" s="200"/>
      <c r="B46" s="211"/>
      <c r="C46" s="212">
        <f t="shared" si="4"/>
        <v>3.5000000000000018</v>
      </c>
      <c r="D46" s="212">
        <f>15</f>
        <v>15</v>
      </c>
      <c r="E46" s="212">
        <f t="shared" si="6"/>
        <v>40.794124671602574</v>
      </c>
      <c r="F46" s="212">
        <f t="shared" si="7"/>
        <v>0.5</v>
      </c>
      <c r="G46" s="212">
        <f>5</f>
        <v>5</v>
      </c>
      <c r="H46" s="212">
        <f t="shared" si="5"/>
        <v>60</v>
      </c>
      <c r="I46" s="212">
        <f t="shared" si="8"/>
        <v>0.9</v>
      </c>
      <c r="J46" s="212">
        <f>1</f>
        <v>1</v>
      </c>
      <c r="K46" s="212">
        <f t="shared" si="9"/>
        <v>4.1870000000000003</v>
      </c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196"/>
      <c r="AD46" s="27"/>
      <c r="AE46" s="213"/>
      <c r="AF46" s="212">
        <f t="shared" si="10"/>
        <v>0</v>
      </c>
      <c r="AG46" s="212"/>
      <c r="AH46" s="212"/>
      <c r="AI46" s="212"/>
      <c r="AJ46" s="212"/>
      <c r="AK46" s="212"/>
      <c r="AL46" s="212"/>
      <c r="AM46" s="212"/>
      <c r="AN46" s="212"/>
      <c r="AO46" s="212"/>
      <c r="AP46" s="196"/>
      <c r="AQ46" s="196"/>
      <c r="AR46" s="211"/>
      <c r="AS46" s="212">
        <f t="shared" si="2"/>
        <v>0</v>
      </c>
      <c r="AT46" s="212">
        <f>[1]!LIM(AT45+Mode*r0*((1+IntegrationStep/2/Ti+Td/IntegrationStep)*AS46-(1-IntegrationStep/2/Ti+2*Td/IntegrationStep)*AS45+Td/IntegrationStep*AS44))</f>
        <v>0.5</v>
      </c>
      <c r="AU46" s="212">
        <f t="shared" si="3"/>
        <v>40.794124671602574</v>
      </c>
      <c r="AW46" s="58"/>
      <c r="AX46" s="58"/>
      <c r="AY46" s="58"/>
      <c r="AZ46" s="58"/>
    </row>
    <row r="47" spans="1:52" s="185" customFormat="1" ht="15" customHeight="1" x14ac:dyDescent="0.25">
      <c r="A47" s="200"/>
      <c r="B47" s="211"/>
      <c r="C47" s="212">
        <f t="shared" si="4"/>
        <v>3.6000000000000019</v>
      </c>
      <c r="D47" s="212">
        <f>15</f>
        <v>15</v>
      </c>
      <c r="E47" s="212">
        <f t="shared" si="6"/>
        <v>40.794124671602574</v>
      </c>
      <c r="F47" s="212">
        <f t="shared" si="7"/>
        <v>0.5</v>
      </c>
      <c r="G47" s="212">
        <f>5</f>
        <v>5</v>
      </c>
      <c r="H47" s="212">
        <f t="shared" si="5"/>
        <v>60</v>
      </c>
      <c r="I47" s="212">
        <f t="shared" si="8"/>
        <v>0.9</v>
      </c>
      <c r="J47" s="212">
        <f>1</f>
        <v>1</v>
      </c>
      <c r="K47" s="212">
        <f t="shared" si="9"/>
        <v>4.1870000000000003</v>
      </c>
      <c r="L47" s="212"/>
      <c r="M47" s="212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  <c r="AB47" s="212"/>
      <c r="AC47" s="196"/>
      <c r="AD47" s="27"/>
      <c r="AE47" s="213"/>
      <c r="AF47" s="212">
        <f t="shared" si="10"/>
        <v>0</v>
      </c>
      <c r="AG47" s="212"/>
      <c r="AH47" s="212"/>
      <c r="AI47" s="212"/>
      <c r="AJ47" s="212"/>
      <c r="AK47" s="212"/>
      <c r="AL47" s="212"/>
      <c r="AM47" s="212"/>
      <c r="AN47" s="212"/>
      <c r="AO47" s="212"/>
      <c r="AP47" s="196"/>
      <c r="AQ47" s="196"/>
      <c r="AR47" s="211"/>
      <c r="AS47" s="212">
        <f t="shared" si="2"/>
        <v>0</v>
      </c>
      <c r="AT47" s="212">
        <f>[1]!LIM(AT46+Mode*r0*((1+IntegrationStep/2/Ti+Td/IntegrationStep)*AS47-(1-IntegrationStep/2/Ti+2*Td/IntegrationStep)*AS46+Td/IntegrationStep*AS45))</f>
        <v>0.5</v>
      </c>
      <c r="AU47" s="212">
        <f t="shared" si="3"/>
        <v>40.794124671602574</v>
      </c>
      <c r="AW47" s="58"/>
      <c r="AX47" s="58"/>
      <c r="AY47" s="58"/>
      <c r="AZ47" s="58"/>
    </row>
    <row r="48" spans="1:52" s="185" customFormat="1" ht="15" customHeight="1" x14ac:dyDescent="0.25">
      <c r="A48" s="200"/>
      <c r="B48" s="211"/>
      <c r="C48" s="212">
        <f t="shared" si="4"/>
        <v>3.700000000000002</v>
      </c>
      <c r="D48" s="212">
        <f>15</f>
        <v>15</v>
      </c>
      <c r="E48" s="212">
        <f t="shared" si="6"/>
        <v>40.794124671602574</v>
      </c>
      <c r="F48" s="212">
        <f t="shared" si="7"/>
        <v>0.5</v>
      </c>
      <c r="G48" s="212">
        <f>5</f>
        <v>5</v>
      </c>
      <c r="H48" s="212">
        <f t="shared" si="5"/>
        <v>60</v>
      </c>
      <c r="I48" s="212">
        <f t="shared" si="8"/>
        <v>0.9</v>
      </c>
      <c r="J48" s="212">
        <f>1</f>
        <v>1</v>
      </c>
      <c r="K48" s="212">
        <f t="shared" si="9"/>
        <v>4.1870000000000003</v>
      </c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196"/>
      <c r="AD48" s="27"/>
      <c r="AE48" s="213"/>
      <c r="AF48" s="212">
        <f t="shared" si="10"/>
        <v>0</v>
      </c>
      <c r="AG48" s="212"/>
      <c r="AH48" s="212"/>
      <c r="AI48" s="212"/>
      <c r="AJ48" s="212"/>
      <c r="AK48" s="212"/>
      <c r="AL48" s="212"/>
      <c r="AM48" s="212"/>
      <c r="AN48" s="212"/>
      <c r="AO48" s="212"/>
      <c r="AP48" s="196"/>
      <c r="AQ48" s="196"/>
      <c r="AR48" s="211"/>
      <c r="AS48" s="212">
        <f t="shared" si="2"/>
        <v>0</v>
      </c>
      <c r="AT48" s="212">
        <f>[1]!LIM(AT47+Mode*r0*((1+IntegrationStep/2/Ti+Td/IntegrationStep)*AS48-(1-IntegrationStep/2/Ti+2*Td/IntegrationStep)*AS47+Td/IntegrationStep*AS46))</f>
        <v>0.5</v>
      </c>
      <c r="AU48" s="212">
        <f t="shared" si="3"/>
        <v>40.794124671602574</v>
      </c>
      <c r="AW48" s="58"/>
      <c r="AX48" s="58"/>
      <c r="AY48" s="58"/>
      <c r="AZ48" s="58"/>
    </row>
    <row r="49" spans="1:52" s="185" customFormat="1" ht="15" customHeight="1" x14ac:dyDescent="0.25">
      <c r="A49" s="200"/>
      <c r="B49" s="211"/>
      <c r="C49" s="212">
        <f t="shared" si="4"/>
        <v>3.800000000000002</v>
      </c>
      <c r="D49" s="212">
        <f>15</f>
        <v>15</v>
      </c>
      <c r="E49" s="212">
        <f t="shared" si="6"/>
        <v>40.794124671602574</v>
      </c>
      <c r="F49" s="212">
        <f t="shared" si="7"/>
        <v>0.5</v>
      </c>
      <c r="G49" s="212">
        <f>5</f>
        <v>5</v>
      </c>
      <c r="H49" s="212">
        <f t="shared" si="5"/>
        <v>60</v>
      </c>
      <c r="I49" s="212">
        <f t="shared" si="8"/>
        <v>0.9</v>
      </c>
      <c r="J49" s="212">
        <f>1</f>
        <v>1</v>
      </c>
      <c r="K49" s="212">
        <f t="shared" si="9"/>
        <v>4.1870000000000003</v>
      </c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196"/>
      <c r="AD49" s="27"/>
      <c r="AE49" s="213"/>
      <c r="AF49" s="212">
        <f t="shared" si="10"/>
        <v>0</v>
      </c>
      <c r="AG49" s="212"/>
      <c r="AH49" s="212"/>
      <c r="AI49" s="212"/>
      <c r="AJ49" s="212"/>
      <c r="AK49" s="212"/>
      <c r="AL49" s="212"/>
      <c r="AM49" s="212"/>
      <c r="AN49" s="212"/>
      <c r="AO49" s="212"/>
      <c r="AP49" s="196"/>
      <c r="AQ49" s="196"/>
      <c r="AR49" s="211"/>
      <c r="AS49" s="212">
        <f t="shared" si="2"/>
        <v>0</v>
      </c>
      <c r="AT49" s="212">
        <f>[1]!LIM(AT48+Mode*r0*((1+IntegrationStep/2/Ti+Td/IntegrationStep)*AS49-(1-IntegrationStep/2/Ti+2*Td/IntegrationStep)*AS48+Td/IntegrationStep*AS47))</f>
        <v>0.5</v>
      </c>
      <c r="AU49" s="212">
        <f t="shared" si="3"/>
        <v>40.794124671602574</v>
      </c>
      <c r="AW49" s="58"/>
      <c r="AX49" s="58"/>
      <c r="AY49" s="58"/>
      <c r="AZ49" s="58"/>
    </row>
    <row r="50" spans="1:52" s="185" customFormat="1" ht="15" customHeight="1" x14ac:dyDescent="0.25">
      <c r="A50" s="200"/>
      <c r="B50" s="211"/>
      <c r="C50" s="212">
        <f t="shared" si="4"/>
        <v>3.9000000000000021</v>
      </c>
      <c r="D50" s="212">
        <f>15</f>
        <v>15</v>
      </c>
      <c r="E50" s="212">
        <f t="shared" si="6"/>
        <v>40.794124671602574</v>
      </c>
      <c r="F50" s="212">
        <f t="shared" si="7"/>
        <v>0.5</v>
      </c>
      <c r="G50" s="212">
        <f>5</f>
        <v>5</v>
      </c>
      <c r="H50" s="212">
        <f t="shared" si="5"/>
        <v>60</v>
      </c>
      <c r="I50" s="212">
        <f t="shared" si="8"/>
        <v>0.9</v>
      </c>
      <c r="J50" s="212">
        <f>1</f>
        <v>1</v>
      </c>
      <c r="K50" s="212">
        <f t="shared" si="9"/>
        <v>4.1870000000000003</v>
      </c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196"/>
      <c r="AD50" s="27"/>
      <c r="AE50" s="213"/>
      <c r="AF50" s="212">
        <f t="shared" si="10"/>
        <v>0</v>
      </c>
      <c r="AG50" s="212"/>
      <c r="AH50" s="212"/>
      <c r="AI50" s="212"/>
      <c r="AJ50" s="212"/>
      <c r="AK50" s="212"/>
      <c r="AL50" s="212"/>
      <c r="AM50" s="212"/>
      <c r="AN50" s="212"/>
      <c r="AO50" s="212"/>
      <c r="AP50" s="196"/>
      <c r="AQ50" s="196"/>
      <c r="AR50" s="211"/>
      <c r="AS50" s="212">
        <f t="shared" si="2"/>
        <v>0</v>
      </c>
      <c r="AT50" s="212">
        <f>[1]!LIM(AT49+Mode*r0*((1+IntegrationStep/2/Ti+Td/IntegrationStep)*AS50-(1-IntegrationStep/2/Ti+2*Td/IntegrationStep)*AS49+Td/IntegrationStep*AS48))</f>
        <v>0.5</v>
      </c>
      <c r="AU50" s="212">
        <f t="shared" si="3"/>
        <v>40.794124671602574</v>
      </c>
      <c r="AW50" s="58"/>
      <c r="AX50" s="58"/>
      <c r="AY50" s="58"/>
      <c r="AZ50" s="58"/>
    </row>
    <row r="51" spans="1:52" s="185" customFormat="1" ht="15" customHeight="1" x14ac:dyDescent="0.25">
      <c r="A51" s="200"/>
      <c r="B51" s="211"/>
      <c r="C51" s="212">
        <f t="shared" si="4"/>
        <v>4.0000000000000018</v>
      </c>
      <c r="D51" s="212">
        <f>15</f>
        <v>15</v>
      </c>
      <c r="E51" s="212">
        <f t="shared" si="6"/>
        <v>40.794124671602574</v>
      </c>
      <c r="F51" s="212">
        <f t="shared" si="7"/>
        <v>0.5</v>
      </c>
      <c r="G51" s="212">
        <f>5</f>
        <v>5</v>
      </c>
      <c r="H51" s="212">
        <f t="shared" si="5"/>
        <v>60</v>
      </c>
      <c r="I51" s="212">
        <f t="shared" si="8"/>
        <v>0.9</v>
      </c>
      <c r="J51" s="212">
        <f>1</f>
        <v>1</v>
      </c>
      <c r="K51" s="212">
        <f t="shared" si="9"/>
        <v>4.1870000000000003</v>
      </c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  <c r="AB51" s="212"/>
      <c r="AC51" s="196"/>
      <c r="AD51" s="27"/>
      <c r="AE51" s="213"/>
      <c r="AF51" s="212">
        <f t="shared" si="10"/>
        <v>0</v>
      </c>
      <c r="AG51" s="212"/>
      <c r="AH51" s="212"/>
      <c r="AI51" s="212"/>
      <c r="AJ51" s="212"/>
      <c r="AK51" s="212"/>
      <c r="AL51" s="212"/>
      <c r="AM51" s="212"/>
      <c r="AN51" s="212"/>
      <c r="AO51" s="212"/>
      <c r="AP51" s="196"/>
      <c r="AQ51" s="196"/>
      <c r="AR51" s="211"/>
      <c r="AS51" s="212">
        <f t="shared" si="2"/>
        <v>0</v>
      </c>
      <c r="AT51" s="212">
        <f>[1]!LIM(AT50+Mode*r0*((1+IntegrationStep/2/Ti+Td/IntegrationStep)*AS51-(1-IntegrationStep/2/Ti+2*Td/IntegrationStep)*AS50+Td/IntegrationStep*AS49))</f>
        <v>0.5</v>
      </c>
      <c r="AU51" s="212">
        <f t="shared" si="3"/>
        <v>40.794124671602574</v>
      </c>
      <c r="AW51" s="58"/>
      <c r="AX51" s="58"/>
      <c r="AY51" s="58"/>
      <c r="AZ51" s="58"/>
    </row>
    <row r="52" spans="1:52" s="185" customFormat="1" ht="15" customHeight="1" x14ac:dyDescent="0.25">
      <c r="A52" s="200"/>
      <c r="B52" s="211"/>
      <c r="C52" s="212">
        <f t="shared" si="4"/>
        <v>4.1000000000000014</v>
      </c>
      <c r="D52" s="212">
        <f>15</f>
        <v>15</v>
      </c>
      <c r="E52" s="212">
        <f t="shared" si="6"/>
        <v>40.794124671602574</v>
      </c>
      <c r="F52" s="212">
        <f t="shared" si="7"/>
        <v>0.5</v>
      </c>
      <c r="G52" s="212">
        <f>5</f>
        <v>5</v>
      </c>
      <c r="H52" s="212">
        <f t="shared" si="5"/>
        <v>60</v>
      </c>
      <c r="I52" s="212">
        <f t="shared" si="8"/>
        <v>0.9</v>
      </c>
      <c r="J52" s="212">
        <f>1</f>
        <v>1</v>
      </c>
      <c r="K52" s="212">
        <f t="shared" si="9"/>
        <v>4.1870000000000003</v>
      </c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196"/>
      <c r="AD52" s="27"/>
      <c r="AE52" s="213"/>
      <c r="AF52" s="212">
        <f t="shared" si="10"/>
        <v>0</v>
      </c>
      <c r="AG52" s="212"/>
      <c r="AH52" s="212"/>
      <c r="AI52" s="212"/>
      <c r="AJ52" s="212"/>
      <c r="AK52" s="212"/>
      <c r="AL52" s="212"/>
      <c r="AM52" s="212"/>
      <c r="AN52" s="212"/>
      <c r="AO52" s="212"/>
      <c r="AP52" s="196"/>
      <c r="AQ52" s="196"/>
      <c r="AR52" s="211"/>
      <c r="AS52" s="212">
        <f t="shared" si="2"/>
        <v>0</v>
      </c>
      <c r="AT52" s="212">
        <f>[1]!LIM(AT51+Mode*r0*((1+IntegrationStep/2/Ti+Td/IntegrationStep)*AS52-(1-IntegrationStep/2/Ti+2*Td/IntegrationStep)*AS51+Td/IntegrationStep*AS50))</f>
        <v>0.5</v>
      </c>
      <c r="AU52" s="212">
        <f t="shared" si="3"/>
        <v>40.794124671602574</v>
      </c>
      <c r="AW52" s="58"/>
      <c r="AX52" s="58"/>
      <c r="AY52" s="58"/>
      <c r="AZ52" s="58"/>
    </row>
    <row r="53" spans="1:52" s="185" customFormat="1" ht="15" customHeight="1" x14ac:dyDescent="0.25">
      <c r="A53" s="200"/>
      <c r="B53" s="211"/>
      <c r="C53" s="212">
        <f t="shared" si="4"/>
        <v>4.2000000000000011</v>
      </c>
      <c r="D53" s="212">
        <f>15</f>
        <v>15</v>
      </c>
      <c r="E53" s="212">
        <f t="shared" si="6"/>
        <v>40.794124671602574</v>
      </c>
      <c r="F53" s="212">
        <f t="shared" si="7"/>
        <v>0.5</v>
      </c>
      <c r="G53" s="212">
        <f>5</f>
        <v>5</v>
      </c>
      <c r="H53" s="212">
        <f t="shared" si="5"/>
        <v>60</v>
      </c>
      <c r="I53" s="212">
        <f t="shared" si="8"/>
        <v>0.9</v>
      </c>
      <c r="J53" s="212">
        <f>1</f>
        <v>1</v>
      </c>
      <c r="K53" s="212">
        <f t="shared" si="9"/>
        <v>4.1870000000000003</v>
      </c>
      <c r="L53" s="212"/>
      <c r="M53" s="212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  <c r="AB53" s="212"/>
      <c r="AC53" s="196"/>
      <c r="AD53" s="27"/>
      <c r="AE53" s="213"/>
      <c r="AF53" s="212">
        <f t="shared" si="10"/>
        <v>0</v>
      </c>
      <c r="AG53" s="212"/>
      <c r="AH53" s="212"/>
      <c r="AI53" s="212"/>
      <c r="AJ53" s="212"/>
      <c r="AK53" s="212"/>
      <c r="AL53" s="212"/>
      <c r="AM53" s="212"/>
      <c r="AN53" s="212"/>
      <c r="AO53" s="212"/>
      <c r="AP53" s="196"/>
      <c r="AQ53" s="196"/>
      <c r="AR53" s="211"/>
      <c r="AS53" s="212">
        <f t="shared" si="2"/>
        <v>0</v>
      </c>
      <c r="AT53" s="212">
        <f>[1]!LIM(AT52+Mode*r0*((1+IntegrationStep/2/Ti+Td/IntegrationStep)*AS53-(1-IntegrationStep/2/Ti+2*Td/IntegrationStep)*AS52+Td/IntegrationStep*AS51))</f>
        <v>0.5</v>
      </c>
      <c r="AU53" s="212">
        <f t="shared" si="3"/>
        <v>40.794124671602574</v>
      </c>
      <c r="AW53" s="58"/>
      <c r="AX53" s="58"/>
      <c r="AY53" s="58"/>
      <c r="AZ53" s="58"/>
    </row>
    <row r="54" spans="1:52" s="185" customFormat="1" ht="15" customHeight="1" x14ac:dyDescent="0.25">
      <c r="A54" s="200"/>
      <c r="B54" s="211"/>
      <c r="C54" s="212">
        <f t="shared" si="4"/>
        <v>4.3000000000000007</v>
      </c>
      <c r="D54" s="212">
        <f>15</f>
        <v>15</v>
      </c>
      <c r="E54" s="212">
        <f t="shared" si="6"/>
        <v>40.794124671602574</v>
      </c>
      <c r="F54" s="212">
        <f t="shared" si="7"/>
        <v>0.5</v>
      </c>
      <c r="G54" s="212">
        <f>5</f>
        <v>5</v>
      </c>
      <c r="H54" s="212">
        <f t="shared" si="5"/>
        <v>60</v>
      </c>
      <c r="I54" s="212">
        <f t="shared" si="8"/>
        <v>0.9</v>
      </c>
      <c r="J54" s="212">
        <f>1</f>
        <v>1</v>
      </c>
      <c r="K54" s="212">
        <f t="shared" si="9"/>
        <v>4.1870000000000003</v>
      </c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196"/>
      <c r="AD54" s="27"/>
      <c r="AE54" s="213"/>
      <c r="AF54" s="212">
        <f t="shared" si="10"/>
        <v>0</v>
      </c>
      <c r="AG54" s="212"/>
      <c r="AH54" s="212"/>
      <c r="AI54" s="212"/>
      <c r="AJ54" s="212"/>
      <c r="AK54" s="212"/>
      <c r="AL54" s="212"/>
      <c r="AM54" s="212"/>
      <c r="AN54" s="212"/>
      <c r="AO54" s="212"/>
      <c r="AP54" s="196"/>
      <c r="AQ54" s="196"/>
      <c r="AR54" s="211"/>
      <c r="AS54" s="212">
        <f t="shared" si="2"/>
        <v>0</v>
      </c>
      <c r="AT54" s="212">
        <f>[1]!LIM(AT53+Mode*r0*((1+IntegrationStep/2/Ti+Td/IntegrationStep)*AS54-(1-IntegrationStep/2/Ti+2*Td/IntegrationStep)*AS53+Td/IntegrationStep*AS52))</f>
        <v>0.5</v>
      </c>
      <c r="AU54" s="212">
        <f t="shared" si="3"/>
        <v>40.794124671602574</v>
      </c>
      <c r="AW54" s="58"/>
      <c r="AX54" s="58"/>
      <c r="AY54" s="58"/>
      <c r="AZ54" s="58"/>
    </row>
    <row r="55" spans="1:52" s="185" customFormat="1" ht="15" customHeight="1" x14ac:dyDescent="0.25">
      <c r="A55" s="200"/>
      <c r="B55" s="211"/>
      <c r="C55" s="212">
        <f t="shared" si="4"/>
        <v>4.4000000000000004</v>
      </c>
      <c r="D55" s="212">
        <f>15</f>
        <v>15</v>
      </c>
      <c r="E55" s="212">
        <f t="shared" si="6"/>
        <v>40.794124671602574</v>
      </c>
      <c r="F55" s="212">
        <f t="shared" si="7"/>
        <v>0.5</v>
      </c>
      <c r="G55" s="212">
        <f>5</f>
        <v>5</v>
      </c>
      <c r="H55" s="212">
        <f t="shared" si="5"/>
        <v>60</v>
      </c>
      <c r="I55" s="212">
        <f t="shared" si="8"/>
        <v>0.9</v>
      </c>
      <c r="J55" s="212">
        <f>1</f>
        <v>1</v>
      </c>
      <c r="K55" s="212">
        <f t="shared" si="9"/>
        <v>4.1870000000000003</v>
      </c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196"/>
      <c r="AD55" s="27"/>
      <c r="AE55" s="213"/>
      <c r="AF55" s="212">
        <f t="shared" si="10"/>
        <v>0</v>
      </c>
      <c r="AG55" s="212"/>
      <c r="AH55" s="212"/>
      <c r="AI55" s="212"/>
      <c r="AJ55" s="212"/>
      <c r="AK55" s="212"/>
      <c r="AL55" s="212"/>
      <c r="AM55" s="212"/>
      <c r="AN55" s="212"/>
      <c r="AO55" s="212"/>
      <c r="AP55" s="196"/>
      <c r="AQ55" s="196"/>
      <c r="AR55" s="211"/>
      <c r="AS55" s="212">
        <f t="shared" si="2"/>
        <v>0</v>
      </c>
      <c r="AT55" s="212">
        <f>[1]!LIM(AT54+Mode*r0*((1+IntegrationStep/2/Ti+Td/IntegrationStep)*AS55-(1-IntegrationStep/2/Ti+2*Td/IntegrationStep)*AS54+Td/IntegrationStep*AS53))</f>
        <v>0.5</v>
      </c>
      <c r="AU55" s="212">
        <f t="shared" si="3"/>
        <v>40.794124671602574</v>
      </c>
      <c r="AW55" s="58"/>
      <c r="AX55" s="58"/>
      <c r="AY55" s="58"/>
      <c r="AZ55" s="58"/>
    </row>
    <row r="56" spans="1:52" s="185" customFormat="1" ht="15" customHeight="1" x14ac:dyDescent="0.25">
      <c r="A56" s="200"/>
      <c r="B56" s="211"/>
      <c r="C56" s="212">
        <f t="shared" si="4"/>
        <v>4.5</v>
      </c>
      <c r="D56" s="212">
        <f>15</f>
        <v>15</v>
      </c>
      <c r="E56" s="212">
        <f t="shared" si="6"/>
        <v>40.794124671602574</v>
      </c>
      <c r="F56" s="212">
        <f t="shared" si="7"/>
        <v>0.5</v>
      </c>
      <c r="G56" s="212">
        <f>5</f>
        <v>5</v>
      </c>
      <c r="H56" s="212">
        <f t="shared" si="5"/>
        <v>60</v>
      </c>
      <c r="I56" s="212">
        <f t="shared" si="8"/>
        <v>0.9</v>
      </c>
      <c r="J56" s="212">
        <f>1</f>
        <v>1</v>
      </c>
      <c r="K56" s="212">
        <f t="shared" si="9"/>
        <v>4.1870000000000003</v>
      </c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196"/>
      <c r="AD56" s="27"/>
      <c r="AE56" s="213"/>
      <c r="AF56" s="212">
        <f t="shared" si="10"/>
        <v>0</v>
      </c>
      <c r="AG56" s="212"/>
      <c r="AH56" s="212"/>
      <c r="AI56" s="212"/>
      <c r="AJ56" s="212"/>
      <c r="AK56" s="212"/>
      <c r="AL56" s="212"/>
      <c r="AM56" s="212"/>
      <c r="AN56" s="212"/>
      <c r="AO56" s="212"/>
      <c r="AP56" s="196"/>
      <c r="AQ56" s="196"/>
      <c r="AR56" s="211"/>
      <c r="AS56" s="212">
        <f t="shared" si="2"/>
        <v>0</v>
      </c>
      <c r="AT56" s="212">
        <f>[1]!LIM(AT55+Mode*r0*((1+IntegrationStep/2/Ti+Td/IntegrationStep)*AS56-(1-IntegrationStep/2/Ti+2*Td/IntegrationStep)*AS55+Td/IntegrationStep*AS54))</f>
        <v>0.5</v>
      </c>
      <c r="AU56" s="212">
        <f t="shared" si="3"/>
        <v>40.794124671602574</v>
      </c>
      <c r="AW56" s="58"/>
      <c r="AX56" s="58"/>
      <c r="AY56" s="58"/>
      <c r="AZ56" s="58"/>
    </row>
    <row r="57" spans="1:52" s="185" customFormat="1" ht="15" customHeight="1" x14ac:dyDescent="0.25">
      <c r="A57" s="200"/>
      <c r="B57" s="211"/>
      <c r="C57" s="212">
        <f t="shared" si="4"/>
        <v>4.5999999999999996</v>
      </c>
      <c r="D57" s="212">
        <f>15</f>
        <v>15</v>
      </c>
      <c r="E57" s="212">
        <f t="shared" si="6"/>
        <v>40.794124671602574</v>
      </c>
      <c r="F57" s="212">
        <f t="shared" si="7"/>
        <v>0.5</v>
      </c>
      <c r="G57" s="212">
        <f>5</f>
        <v>5</v>
      </c>
      <c r="H57" s="212">
        <f t="shared" si="5"/>
        <v>60</v>
      </c>
      <c r="I57" s="212">
        <f t="shared" si="8"/>
        <v>0.9</v>
      </c>
      <c r="J57" s="212">
        <f>1</f>
        <v>1</v>
      </c>
      <c r="K57" s="212">
        <f t="shared" si="9"/>
        <v>4.1870000000000003</v>
      </c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196"/>
      <c r="AD57" s="27"/>
      <c r="AE57" s="213"/>
      <c r="AF57" s="212">
        <f t="shared" si="10"/>
        <v>0</v>
      </c>
      <c r="AG57" s="212"/>
      <c r="AH57" s="212"/>
      <c r="AI57" s="212"/>
      <c r="AJ57" s="212"/>
      <c r="AK57" s="212"/>
      <c r="AL57" s="212"/>
      <c r="AM57" s="212"/>
      <c r="AN57" s="212"/>
      <c r="AO57" s="212"/>
      <c r="AP57" s="196"/>
      <c r="AQ57" s="196"/>
      <c r="AR57" s="211"/>
      <c r="AS57" s="212">
        <f t="shared" si="2"/>
        <v>0</v>
      </c>
      <c r="AT57" s="212">
        <f>[1]!LIM(AT56+Mode*r0*((1+IntegrationStep/2/Ti+Td/IntegrationStep)*AS57-(1-IntegrationStep/2/Ti+2*Td/IntegrationStep)*AS56+Td/IntegrationStep*AS55))</f>
        <v>0.5</v>
      </c>
      <c r="AU57" s="212">
        <f t="shared" si="3"/>
        <v>40.794124671602574</v>
      </c>
      <c r="AW57" s="58"/>
      <c r="AX57" s="58"/>
      <c r="AY57" s="58"/>
      <c r="AZ57" s="58"/>
    </row>
    <row r="58" spans="1:52" s="185" customFormat="1" ht="15" customHeight="1" x14ac:dyDescent="0.25">
      <c r="A58" s="200"/>
      <c r="B58" s="211"/>
      <c r="C58" s="212">
        <f t="shared" si="4"/>
        <v>4.6999999999999993</v>
      </c>
      <c r="D58" s="212">
        <f>15</f>
        <v>15</v>
      </c>
      <c r="E58" s="212">
        <f t="shared" si="6"/>
        <v>40.794124671602574</v>
      </c>
      <c r="F58" s="212">
        <f t="shared" si="7"/>
        <v>0.5</v>
      </c>
      <c r="G58" s="212">
        <f>5</f>
        <v>5</v>
      </c>
      <c r="H58" s="212">
        <f t="shared" si="5"/>
        <v>60</v>
      </c>
      <c r="I58" s="212">
        <f t="shared" si="8"/>
        <v>0.9</v>
      </c>
      <c r="J58" s="212">
        <f>1</f>
        <v>1</v>
      </c>
      <c r="K58" s="212">
        <f t="shared" si="9"/>
        <v>4.1870000000000003</v>
      </c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196"/>
      <c r="AD58" s="27"/>
      <c r="AE58" s="213"/>
      <c r="AF58" s="212">
        <f t="shared" si="10"/>
        <v>0</v>
      </c>
      <c r="AG58" s="212"/>
      <c r="AH58" s="212"/>
      <c r="AI58" s="212"/>
      <c r="AJ58" s="212"/>
      <c r="AK58" s="212"/>
      <c r="AL58" s="212"/>
      <c r="AM58" s="212"/>
      <c r="AN58" s="212"/>
      <c r="AO58" s="212"/>
      <c r="AP58" s="196"/>
      <c r="AQ58" s="196"/>
      <c r="AR58" s="211"/>
      <c r="AS58" s="212">
        <f t="shared" si="2"/>
        <v>0</v>
      </c>
      <c r="AT58" s="212">
        <f>[1]!LIM(AT57+Mode*r0*((1+IntegrationStep/2/Ti+Td/IntegrationStep)*AS58-(1-IntegrationStep/2/Ti+2*Td/IntegrationStep)*AS57+Td/IntegrationStep*AS56))</f>
        <v>0.5</v>
      </c>
      <c r="AU58" s="212">
        <f t="shared" si="3"/>
        <v>40.794124671602574</v>
      </c>
      <c r="AW58" s="58"/>
      <c r="AX58" s="58"/>
      <c r="AY58" s="58"/>
      <c r="AZ58" s="58"/>
    </row>
    <row r="59" spans="1:52" s="185" customFormat="1" ht="15" customHeight="1" x14ac:dyDescent="0.25">
      <c r="A59" s="200"/>
      <c r="B59" s="211"/>
      <c r="C59" s="212">
        <f t="shared" si="4"/>
        <v>4.7999999999999989</v>
      </c>
      <c r="D59" s="212">
        <f>15</f>
        <v>15</v>
      </c>
      <c r="E59" s="212">
        <f t="shared" si="6"/>
        <v>40.794124671602574</v>
      </c>
      <c r="F59" s="212">
        <f t="shared" si="7"/>
        <v>0.5</v>
      </c>
      <c r="G59" s="212">
        <f>5</f>
        <v>5</v>
      </c>
      <c r="H59" s="212">
        <f t="shared" si="5"/>
        <v>60</v>
      </c>
      <c r="I59" s="212">
        <f t="shared" si="8"/>
        <v>0.9</v>
      </c>
      <c r="J59" s="212">
        <f>1</f>
        <v>1</v>
      </c>
      <c r="K59" s="212">
        <f t="shared" si="9"/>
        <v>4.1870000000000003</v>
      </c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  <c r="AB59" s="212"/>
      <c r="AC59" s="196"/>
      <c r="AD59" s="27"/>
      <c r="AE59" s="213"/>
      <c r="AF59" s="212">
        <f t="shared" si="10"/>
        <v>0</v>
      </c>
      <c r="AG59" s="212"/>
      <c r="AH59" s="212"/>
      <c r="AI59" s="212"/>
      <c r="AJ59" s="212"/>
      <c r="AK59" s="212"/>
      <c r="AL59" s="212"/>
      <c r="AM59" s="212"/>
      <c r="AN59" s="212"/>
      <c r="AO59" s="212"/>
      <c r="AP59" s="196"/>
      <c r="AQ59" s="196"/>
      <c r="AR59" s="211"/>
      <c r="AS59" s="212">
        <f t="shared" si="2"/>
        <v>0</v>
      </c>
      <c r="AT59" s="212">
        <f>[1]!LIM(AT58+Mode*r0*((1+IntegrationStep/2/Ti+Td/IntegrationStep)*AS59-(1-IntegrationStep/2/Ti+2*Td/IntegrationStep)*AS58+Td/IntegrationStep*AS57))</f>
        <v>0.5</v>
      </c>
      <c r="AU59" s="212">
        <f t="shared" si="3"/>
        <v>40.794124671602574</v>
      </c>
      <c r="AW59" s="58"/>
      <c r="AX59" s="58"/>
      <c r="AY59" s="58"/>
      <c r="AZ59" s="58"/>
    </row>
    <row r="60" spans="1:52" s="185" customFormat="1" ht="15" customHeight="1" x14ac:dyDescent="0.25">
      <c r="A60" s="200"/>
      <c r="B60" s="211"/>
      <c r="C60" s="212">
        <f t="shared" si="4"/>
        <v>4.8999999999999986</v>
      </c>
      <c r="D60" s="212">
        <f>15</f>
        <v>15</v>
      </c>
      <c r="E60" s="212">
        <f t="shared" si="6"/>
        <v>40.794124671602574</v>
      </c>
      <c r="F60" s="212">
        <f t="shared" si="7"/>
        <v>0.5</v>
      </c>
      <c r="G60" s="212">
        <f>5</f>
        <v>5</v>
      </c>
      <c r="H60" s="212">
        <f t="shared" si="5"/>
        <v>60</v>
      </c>
      <c r="I60" s="212">
        <f t="shared" si="8"/>
        <v>0.9</v>
      </c>
      <c r="J60" s="212">
        <f>1</f>
        <v>1</v>
      </c>
      <c r="K60" s="212">
        <f t="shared" si="9"/>
        <v>4.1870000000000003</v>
      </c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2"/>
      <c r="AC60" s="196"/>
      <c r="AD60" s="27"/>
      <c r="AE60" s="213"/>
      <c r="AF60" s="212">
        <f t="shared" si="10"/>
        <v>0</v>
      </c>
      <c r="AG60" s="212"/>
      <c r="AH60" s="212"/>
      <c r="AI60" s="212"/>
      <c r="AJ60" s="212"/>
      <c r="AK60" s="212"/>
      <c r="AL60" s="212"/>
      <c r="AM60" s="212"/>
      <c r="AN60" s="212"/>
      <c r="AO60" s="212"/>
      <c r="AP60" s="196"/>
      <c r="AQ60" s="196"/>
      <c r="AR60" s="211"/>
      <c r="AS60" s="212">
        <f t="shared" si="2"/>
        <v>0</v>
      </c>
      <c r="AT60" s="212">
        <f>[1]!LIM(AT59+Mode*r0*((1+IntegrationStep/2/Ti+Td/IntegrationStep)*AS60-(1-IntegrationStep/2/Ti+2*Td/IntegrationStep)*AS59+Td/IntegrationStep*AS58))</f>
        <v>0.5</v>
      </c>
      <c r="AU60" s="212">
        <f t="shared" si="3"/>
        <v>40.794124671602574</v>
      </c>
      <c r="AW60" s="58"/>
      <c r="AX60" s="58"/>
      <c r="AY60" s="58"/>
      <c r="AZ60" s="58"/>
    </row>
    <row r="61" spans="1:52" s="185" customFormat="1" ht="15" customHeight="1" x14ac:dyDescent="0.25">
      <c r="A61" s="200"/>
      <c r="B61" s="211"/>
      <c r="C61" s="212">
        <f t="shared" si="4"/>
        <v>4.9999999999999982</v>
      </c>
      <c r="D61" s="231">
        <f>15+[1]!STEPLOAD(5)</f>
        <v>20</v>
      </c>
      <c r="E61" s="212">
        <f t="shared" si="6"/>
        <v>40.794124671602574</v>
      </c>
      <c r="F61" s="212">
        <f t="shared" si="7"/>
        <v>0.5</v>
      </c>
      <c r="G61" s="212">
        <f>5</f>
        <v>5</v>
      </c>
      <c r="H61" s="212">
        <f t="shared" si="5"/>
        <v>60</v>
      </c>
      <c r="I61" s="212">
        <f t="shared" si="8"/>
        <v>0.9</v>
      </c>
      <c r="J61" s="212">
        <f>1</f>
        <v>1</v>
      </c>
      <c r="K61" s="212">
        <f t="shared" si="9"/>
        <v>4.1870000000000003</v>
      </c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  <c r="AB61" s="212"/>
      <c r="AC61" s="196"/>
      <c r="AD61" s="27"/>
      <c r="AE61" s="213"/>
      <c r="AF61" s="212">
        <f t="shared" si="10"/>
        <v>0.50000000000000044</v>
      </c>
      <c r="AG61" s="212"/>
      <c r="AH61" s="212"/>
      <c r="AI61" s="212"/>
      <c r="AJ61" s="212"/>
      <c r="AK61" s="212"/>
      <c r="AL61" s="212"/>
      <c r="AM61" s="212"/>
      <c r="AN61" s="212"/>
      <c r="AO61" s="212"/>
      <c r="AP61" s="196"/>
      <c r="AQ61" s="196"/>
      <c r="AR61" s="211"/>
      <c r="AS61" s="212">
        <f t="shared" si="2"/>
        <v>0</v>
      </c>
      <c r="AT61" s="212">
        <f>[1]!LIM(AT60+Mode*r0*((1+IntegrationStep/2/Ti+Td/IntegrationStep)*AS61-(1-IntegrationStep/2/Ti+2*Td/IntegrationStep)*AS60+Td/IntegrationStep*AS59))</f>
        <v>0.5</v>
      </c>
      <c r="AU61" s="212">
        <f t="shared" si="3"/>
        <v>40.794124671602574</v>
      </c>
      <c r="AW61" s="58"/>
      <c r="AX61" s="58"/>
      <c r="AY61" s="58"/>
      <c r="AZ61" s="58"/>
    </row>
    <row r="62" spans="1:52" s="185" customFormat="1" ht="15" customHeight="1" x14ac:dyDescent="0.25">
      <c r="A62" s="200"/>
      <c r="B62" s="211"/>
      <c r="C62" s="212">
        <f t="shared" si="4"/>
        <v>5.0999999999999979</v>
      </c>
      <c r="D62" s="231">
        <f>15+[1]!STEPLOAD(5)</f>
        <v>20</v>
      </c>
      <c r="E62" s="212">
        <f t="shared" si="6"/>
        <v>40.844124671602572</v>
      </c>
      <c r="F62" s="212">
        <f t="shared" si="7"/>
        <v>0.5</v>
      </c>
      <c r="G62" s="212">
        <f>5</f>
        <v>5</v>
      </c>
      <c r="H62" s="212">
        <f t="shared" si="5"/>
        <v>59.088750000000054</v>
      </c>
      <c r="I62" s="212">
        <f t="shared" si="8"/>
        <v>0.9</v>
      </c>
      <c r="J62" s="212">
        <f>1</f>
        <v>1</v>
      </c>
      <c r="K62" s="212">
        <f t="shared" si="9"/>
        <v>4.1870000000000003</v>
      </c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196"/>
      <c r="AD62" s="27"/>
      <c r="AE62" s="213"/>
      <c r="AF62" s="212">
        <f t="shared" si="10"/>
        <v>0.4558251731550067</v>
      </c>
      <c r="AG62" s="212"/>
      <c r="AH62" s="212"/>
      <c r="AI62" s="212"/>
      <c r="AJ62" s="212"/>
      <c r="AK62" s="212"/>
      <c r="AL62" s="212"/>
      <c r="AM62" s="212"/>
      <c r="AN62" s="212"/>
      <c r="AO62" s="212"/>
      <c r="AP62" s="196"/>
      <c r="AQ62" s="196"/>
      <c r="AR62" s="211"/>
      <c r="AS62" s="212">
        <f t="shared" si="2"/>
        <v>-4.999999999999716E-4</v>
      </c>
      <c r="AT62" s="212">
        <f>[1]!LIM(AT61+Mode*r0*((1+IntegrationStep/2/Ti+Td/IntegrationStep)*AS62-(1-IntegrationStep/2/Ti+2*Td/IntegrationStep)*AS61+Td/IntegrationStep*AS60))</f>
        <v>0.49240625000000043</v>
      </c>
      <c r="AU62" s="212">
        <f t="shared" si="3"/>
        <v>40.794124671602574</v>
      </c>
      <c r="AW62" s="58"/>
      <c r="AX62" s="58"/>
      <c r="AY62" s="58"/>
      <c r="AZ62" s="58"/>
    </row>
    <row r="63" spans="1:52" s="185" customFormat="1" ht="15" customHeight="1" x14ac:dyDescent="0.25">
      <c r="A63" s="200"/>
      <c r="B63" s="211"/>
      <c r="C63" s="212">
        <f t="shared" si="4"/>
        <v>5.1999999999999975</v>
      </c>
      <c r="D63" s="231">
        <f>15+[1]!STEPLOAD(5)</f>
        <v>20</v>
      </c>
      <c r="E63" s="212">
        <f t="shared" si="6"/>
        <v>40.889707188918074</v>
      </c>
      <c r="F63" s="212">
        <f t="shared" si="7"/>
        <v>0.5</v>
      </c>
      <c r="G63" s="212">
        <f>5</f>
        <v>5</v>
      </c>
      <c r="H63" s="212">
        <f t="shared" si="5"/>
        <v>58.235508621925035</v>
      </c>
      <c r="I63" s="212">
        <f t="shared" si="8"/>
        <v>0.9</v>
      </c>
      <c r="J63" s="212">
        <f>1</f>
        <v>1</v>
      </c>
      <c r="K63" s="212">
        <f t="shared" si="9"/>
        <v>4.1870000000000003</v>
      </c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196"/>
      <c r="AD63" s="27"/>
      <c r="AE63" s="213"/>
      <c r="AF63" s="212">
        <f t="shared" si="10"/>
        <v>0.41458589728839446</v>
      </c>
      <c r="AG63" s="212"/>
      <c r="AH63" s="212"/>
      <c r="AI63" s="212"/>
      <c r="AJ63" s="212"/>
      <c r="AK63" s="212"/>
      <c r="AL63" s="212"/>
      <c r="AM63" s="212"/>
      <c r="AN63" s="212"/>
      <c r="AO63" s="212"/>
      <c r="AP63" s="196"/>
      <c r="AQ63" s="196"/>
      <c r="AR63" s="211"/>
      <c r="AS63" s="212">
        <f t="shared" si="2"/>
        <v>-9.5582517315499164E-4</v>
      </c>
      <c r="AT63" s="212">
        <f>[1]!LIM(AT62+Mode*r0*((1+IntegrationStep/2/Ti+Td/IntegrationStep)*AS63-(1-IntegrationStep/2/Ti+2*Td/IntegrationStep)*AS62+Td/IntegrationStep*AS61))</f>
        <v>0.4852959051827086</v>
      </c>
      <c r="AU63" s="212">
        <f t="shared" si="3"/>
        <v>40.794124671602574</v>
      </c>
      <c r="AW63" s="58"/>
      <c r="AX63" s="58"/>
      <c r="AY63" s="58"/>
      <c r="AZ63" s="58"/>
    </row>
    <row r="64" spans="1:52" s="185" customFormat="1" ht="15" customHeight="1" x14ac:dyDescent="0.25">
      <c r="A64" s="200"/>
      <c r="B64" s="211"/>
      <c r="C64" s="212">
        <f t="shared" si="4"/>
        <v>5.2999999999999972</v>
      </c>
      <c r="D64" s="231">
        <f>15+[1]!STEPLOAD(5)</f>
        <v>20</v>
      </c>
      <c r="E64" s="212">
        <f t="shared" si="6"/>
        <v>40.931165778646914</v>
      </c>
      <c r="F64" s="212">
        <f t="shared" si="7"/>
        <v>0.5</v>
      </c>
      <c r="G64" s="212">
        <f>5</f>
        <v>5</v>
      </c>
      <c r="H64" s="212">
        <f t="shared" si="5"/>
        <v>57.436913691324939</v>
      </c>
      <c r="I64" s="212">
        <f t="shared" si="8"/>
        <v>0.9</v>
      </c>
      <c r="J64" s="212">
        <f>1</f>
        <v>1</v>
      </c>
      <c r="K64" s="212">
        <f t="shared" si="9"/>
        <v>4.1870000000000003</v>
      </c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196"/>
      <c r="AD64" s="27"/>
      <c r="AE64" s="213"/>
      <c r="AF64" s="212">
        <f t="shared" si="10"/>
        <v>0.37610827631216281</v>
      </c>
      <c r="AG64" s="212"/>
      <c r="AH64" s="212"/>
      <c r="AI64" s="212"/>
      <c r="AJ64" s="212"/>
      <c r="AK64" s="212"/>
      <c r="AL64" s="212"/>
      <c r="AM64" s="212"/>
      <c r="AN64" s="212"/>
      <c r="AO64" s="212"/>
      <c r="AP64" s="196"/>
      <c r="AQ64" s="196"/>
      <c r="AR64" s="211"/>
      <c r="AS64" s="212">
        <f t="shared" si="2"/>
        <v>-1.3704110704433959E-3</v>
      </c>
      <c r="AT64" s="212">
        <f>[1]!LIM(AT63+Mode*r0*((1+IntegrationStep/2/Ti+Td/IntegrationStep)*AS64-(1-IntegrationStep/2/Ti+2*Td/IntegrationStep)*AS63+Td/IntegrationStep*AS62))</f>
        <v>0.47864094742770785</v>
      </c>
      <c r="AU64" s="212">
        <f t="shared" si="3"/>
        <v>40.794124671602574</v>
      </c>
      <c r="AW64" s="58"/>
      <c r="AX64" s="58"/>
      <c r="AY64" s="58"/>
      <c r="AZ64" s="58"/>
    </row>
    <row r="65" spans="1:52" s="185" customFormat="1" ht="15" customHeight="1" x14ac:dyDescent="0.25">
      <c r="A65" s="200"/>
      <c r="B65" s="211"/>
      <c r="C65" s="212">
        <f t="shared" si="4"/>
        <v>5.3999999999999968</v>
      </c>
      <c r="D65" s="231">
        <f>15+[1]!STEPLOAD(5)</f>
        <v>20</v>
      </c>
      <c r="E65" s="212">
        <f t="shared" si="6"/>
        <v>40.968776606278134</v>
      </c>
      <c r="F65" s="212">
        <f t="shared" si="7"/>
        <v>0.5</v>
      </c>
      <c r="G65" s="212">
        <f>5</f>
        <v>5</v>
      </c>
      <c r="H65" s="212">
        <f t="shared" si="5"/>
        <v>56.689787859576015</v>
      </c>
      <c r="I65" s="212">
        <f t="shared" si="8"/>
        <v>0.9</v>
      </c>
      <c r="J65" s="212">
        <f>1</f>
        <v>1</v>
      </c>
      <c r="K65" s="212">
        <f t="shared" si="9"/>
        <v>4.1870000000000003</v>
      </c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  <c r="AB65" s="212"/>
      <c r="AC65" s="196"/>
      <c r="AD65" s="27"/>
      <c r="AE65" s="213"/>
      <c r="AF65" s="212">
        <f t="shared" si="10"/>
        <v>0.34022809879986315</v>
      </c>
      <c r="AG65" s="212"/>
      <c r="AH65" s="212"/>
      <c r="AI65" s="212"/>
      <c r="AJ65" s="212"/>
      <c r="AK65" s="212"/>
      <c r="AL65" s="212"/>
      <c r="AM65" s="212"/>
      <c r="AN65" s="212"/>
      <c r="AO65" s="212"/>
      <c r="AP65" s="196"/>
      <c r="AQ65" s="196"/>
      <c r="AR65" s="211"/>
      <c r="AS65" s="212">
        <f t="shared" si="2"/>
        <v>-1.7465193467555906E-3</v>
      </c>
      <c r="AT65" s="212">
        <f>[1]!LIM(AT64+Mode*r0*((1+IntegrationStep/2/Ti+Td/IntegrationStep)*AS65-(1-IntegrationStep/2/Ti+2*Td/IntegrationStep)*AS64+Td/IntegrationStep*AS63))</f>
        <v>0.47241489882980015</v>
      </c>
      <c r="AU65" s="212">
        <f t="shared" si="3"/>
        <v>40.794124671602574</v>
      </c>
      <c r="AW65" s="58"/>
      <c r="AX65" s="58"/>
      <c r="AY65" s="58"/>
      <c r="AZ65" s="58"/>
    </row>
    <row r="66" spans="1:52" s="185" customFormat="1" ht="15" customHeight="1" x14ac:dyDescent="0.25">
      <c r="A66" s="200"/>
      <c r="B66" s="211"/>
      <c r="C66" s="212">
        <f t="shared" si="4"/>
        <v>5.4999999999999964</v>
      </c>
      <c r="D66" s="231">
        <f>15+[1]!STEPLOAD(5)</f>
        <v>20</v>
      </c>
      <c r="E66" s="212">
        <f t="shared" si="6"/>
        <v>41.002799416158119</v>
      </c>
      <c r="F66" s="212">
        <f t="shared" si="7"/>
        <v>0.5</v>
      </c>
      <c r="G66" s="212">
        <f>5</f>
        <v>5</v>
      </c>
      <c r="H66" s="212">
        <f t="shared" si="5"/>
        <v>55.991128778909278</v>
      </c>
      <c r="I66" s="212">
        <f t="shared" si="8"/>
        <v>0.9</v>
      </c>
      <c r="J66" s="212">
        <f>1</f>
        <v>1</v>
      </c>
      <c r="K66" s="212">
        <f t="shared" si="9"/>
        <v>4.1870000000000003</v>
      </c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  <c r="AB66" s="212"/>
      <c r="AC66" s="196"/>
      <c r="AD66" s="27"/>
      <c r="AE66" s="213"/>
      <c r="AF66" s="212">
        <f t="shared" si="10"/>
        <v>0.30679031876242302</v>
      </c>
      <c r="AG66" s="212"/>
      <c r="AH66" s="212"/>
      <c r="AI66" s="212"/>
      <c r="AJ66" s="212"/>
      <c r="AK66" s="212"/>
      <c r="AL66" s="212"/>
      <c r="AM66" s="212"/>
      <c r="AN66" s="212"/>
      <c r="AO66" s="212"/>
      <c r="AP66" s="196"/>
      <c r="AQ66" s="196"/>
      <c r="AR66" s="211"/>
      <c r="AS66" s="212">
        <f t="shared" si="2"/>
        <v>-2.0867474455554457E-3</v>
      </c>
      <c r="AT66" s="212">
        <f>[1]!LIM(AT65+Mode*r0*((1+IntegrationStep/2/Ti+Td/IntegrationStep)*AS66-(1-IntegrationStep/2/Ti+2*Td/IntegrationStep)*AS65+Td/IntegrationStep*AS64))</f>
        <v>0.46659273982424398</v>
      </c>
      <c r="AU66" s="212">
        <f t="shared" si="3"/>
        <v>40.794124671602574</v>
      </c>
      <c r="AW66" s="58"/>
      <c r="AX66" s="58"/>
      <c r="AY66" s="58"/>
      <c r="AZ66" s="58"/>
    </row>
    <row r="67" spans="1:52" s="185" customFormat="1" ht="15" customHeight="1" x14ac:dyDescent="0.25">
      <c r="A67" s="200"/>
      <c r="B67" s="211"/>
      <c r="C67" s="212">
        <f t="shared" si="4"/>
        <v>5.5999999999999961</v>
      </c>
      <c r="D67" s="231">
        <f>15+[1]!STEPLOAD(5)</f>
        <v>20</v>
      </c>
      <c r="E67" s="212">
        <f t="shared" si="6"/>
        <v>41.033478448034359</v>
      </c>
      <c r="F67" s="212">
        <f t="shared" si="7"/>
        <v>0.5</v>
      </c>
      <c r="G67" s="212">
        <f>5</f>
        <v>5</v>
      </c>
      <c r="H67" s="212">
        <f t="shared" si="5"/>
        <v>55.338099787914821</v>
      </c>
      <c r="I67" s="212">
        <f t="shared" si="8"/>
        <v>0.9</v>
      </c>
      <c r="J67" s="212">
        <f>1</f>
        <v>1</v>
      </c>
      <c r="K67" s="212">
        <f t="shared" si="9"/>
        <v>4.1870000000000003</v>
      </c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  <c r="AB67" s="212"/>
      <c r="AC67" s="196"/>
      <c r="AD67" s="27"/>
      <c r="AE67" s="213"/>
      <c r="AF67" s="212">
        <f t="shared" si="10"/>
        <v>0.27564856356166256</v>
      </c>
      <c r="AG67" s="212"/>
      <c r="AH67" s="212"/>
      <c r="AI67" s="212"/>
      <c r="AJ67" s="212"/>
      <c r="AK67" s="212"/>
      <c r="AL67" s="212"/>
      <c r="AM67" s="212"/>
      <c r="AN67" s="212"/>
      <c r="AO67" s="212"/>
      <c r="AP67" s="196"/>
      <c r="AQ67" s="196"/>
      <c r="AR67" s="211"/>
      <c r="AS67" s="212">
        <f t="shared" si="2"/>
        <v>-2.3935377643178411E-3</v>
      </c>
      <c r="AT67" s="212">
        <f>[1]!LIM(AT66+Mode*r0*((1+IntegrationStep/2/Ti+Td/IntegrationStep)*AS67-(1-IntegrationStep/2/Ti+2*Td/IntegrationStep)*AS66+Td/IntegrationStep*AS65))</f>
        <v>0.46115083156595682</v>
      </c>
      <c r="AU67" s="212">
        <f t="shared" si="3"/>
        <v>40.794124671602574</v>
      </c>
      <c r="AW67" s="58"/>
      <c r="AX67" s="58"/>
      <c r="AY67" s="58"/>
      <c r="AZ67" s="58"/>
    </row>
    <row r="68" spans="1:52" s="185" customFormat="1" ht="15" customHeight="1" x14ac:dyDescent="0.25">
      <c r="A68" s="200"/>
      <c r="B68" s="211"/>
      <c r="C68" s="212">
        <f t="shared" si="4"/>
        <v>5.6999999999999957</v>
      </c>
      <c r="D68" s="231">
        <f>15+[1]!STEPLOAD(5)</f>
        <v>20</v>
      </c>
      <c r="E68" s="212">
        <f t="shared" si="6"/>
        <v>41.061043304390523</v>
      </c>
      <c r="F68" s="212">
        <f t="shared" si="7"/>
        <v>0.5</v>
      </c>
      <c r="G68" s="212">
        <f>5</f>
        <v>5</v>
      </c>
      <c r="H68" s="212">
        <f t="shared" si="5"/>
        <v>54.728021081429418</v>
      </c>
      <c r="I68" s="212">
        <f t="shared" si="8"/>
        <v>0.9</v>
      </c>
      <c r="J68" s="212">
        <f>1</f>
        <v>1</v>
      </c>
      <c r="K68" s="212">
        <f t="shared" si="9"/>
        <v>4.1870000000000003</v>
      </c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196"/>
      <c r="AD68" s="27"/>
      <c r="AE68" s="213"/>
      <c r="AF68" s="212">
        <f t="shared" si="10"/>
        <v>0.24666466756842187</v>
      </c>
      <c r="AG68" s="212"/>
      <c r="AH68" s="212"/>
      <c r="AI68" s="212"/>
      <c r="AJ68" s="212"/>
      <c r="AK68" s="212"/>
      <c r="AL68" s="212"/>
      <c r="AM68" s="212"/>
      <c r="AN68" s="212"/>
      <c r="AO68" s="212"/>
      <c r="AP68" s="196"/>
      <c r="AQ68" s="196"/>
      <c r="AR68" s="211"/>
      <c r="AS68" s="212">
        <f t="shared" si="2"/>
        <v>-2.6691863278794871E-3</v>
      </c>
      <c r="AT68" s="212">
        <f>[1]!LIM(AT67+Mode*r0*((1+IntegrationStep/2/Ti+Td/IntegrationStep)*AS68-(1-IntegrationStep/2/Ti+2*Td/IntegrationStep)*AS67+Td/IntegrationStep*AS66))</f>
        <v>0.45606684234524514</v>
      </c>
      <c r="AU68" s="212">
        <f t="shared" si="3"/>
        <v>40.794124671602574</v>
      </c>
      <c r="AW68" s="58"/>
      <c r="AX68" s="58"/>
      <c r="AY68" s="58"/>
      <c r="AZ68" s="58"/>
    </row>
    <row r="69" spans="1:52" s="185" customFormat="1" ht="15" customHeight="1" x14ac:dyDescent="0.25">
      <c r="A69" s="200"/>
      <c r="B69" s="211"/>
      <c r="C69" s="212">
        <f t="shared" si="4"/>
        <v>5.7999999999999954</v>
      </c>
      <c r="D69" s="231">
        <f>15+[1]!STEPLOAD(5)</f>
        <v>20</v>
      </c>
      <c r="E69" s="212">
        <f t="shared" si="6"/>
        <v>41.085709771147364</v>
      </c>
      <c r="F69" s="212">
        <f t="shared" si="7"/>
        <v>0.5</v>
      </c>
      <c r="G69" s="212">
        <f>5</f>
        <v>5</v>
      </c>
      <c r="H69" s="212">
        <f t="shared" si="5"/>
        <v>54.158361340031412</v>
      </c>
      <c r="I69" s="212">
        <f t="shared" si="8"/>
        <v>0.9</v>
      </c>
      <c r="J69" s="212">
        <f>1</f>
        <v>1</v>
      </c>
      <c r="K69" s="212">
        <f t="shared" si="9"/>
        <v>4.1870000000000003</v>
      </c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  <c r="AB69" s="212"/>
      <c r="AC69" s="196"/>
      <c r="AD69" s="27"/>
      <c r="AE69" s="213"/>
      <c r="AF69" s="212">
        <f t="shared" si="10"/>
        <v>0.2197082302427158</v>
      </c>
      <c r="AG69" s="212"/>
      <c r="AH69" s="212"/>
      <c r="AI69" s="212"/>
      <c r="AJ69" s="212"/>
      <c r="AK69" s="212"/>
      <c r="AL69" s="212"/>
      <c r="AM69" s="212"/>
      <c r="AN69" s="212"/>
      <c r="AO69" s="212"/>
      <c r="AP69" s="196"/>
      <c r="AQ69" s="196"/>
      <c r="AR69" s="211"/>
      <c r="AS69" s="212">
        <f t="shared" si="2"/>
        <v>-2.9158509954478971E-3</v>
      </c>
      <c r="AT69" s="212">
        <f>[1]!LIM(AT68+Mode*r0*((1+IntegrationStep/2/Ti+Td/IntegrationStep)*AS69-(1-IntegrationStep/2/Ti+2*Td/IntegrationStep)*AS68+Td/IntegrationStep*AS67))</f>
        <v>0.45131967783359511</v>
      </c>
      <c r="AU69" s="212">
        <f t="shared" si="3"/>
        <v>40.794124671602574</v>
      </c>
      <c r="AW69" s="58"/>
      <c r="AX69" s="58"/>
      <c r="AY69" s="58"/>
      <c r="AZ69" s="58"/>
    </row>
    <row r="70" spans="1:52" s="185" customFormat="1" ht="15" customHeight="1" x14ac:dyDescent="0.25">
      <c r="A70" s="200"/>
      <c r="B70" s="211"/>
      <c r="C70" s="212">
        <f t="shared" si="4"/>
        <v>5.899999999999995</v>
      </c>
      <c r="D70" s="231">
        <f>15+[1]!STEPLOAD(5)</f>
        <v>20</v>
      </c>
      <c r="E70" s="212">
        <f t="shared" si="6"/>
        <v>41.107680594171633</v>
      </c>
      <c r="F70" s="212">
        <f t="shared" si="7"/>
        <v>0.5</v>
      </c>
      <c r="G70" s="212">
        <f>5</f>
        <v>5</v>
      </c>
      <c r="H70" s="212">
        <f t="shared" si="5"/>
        <v>53.626729795618957</v>
      </c>
      <c r="I70" s="212">
        <f t="shared" si="8"/>
        <v>0.9</v>
      </c>
      <c r="J70" s="212">
        <f>1</f>
        <v>1</v>
      </c>
      <c r="K70" s="212">
        <f t="shared" si="9"/>
        <v>4.1870000000000003</v>
      </c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  <c r="AA70" s="212"/>
      <c r="AB70" s="212"/>
      <c r="AC70" s="196"/>
      <c r="AD70" s="27"/>
      <c r="AE70" s="213"/>
      <c r="AF70" s="212">
        <f t="shared" si="10"/>
        <v>0.1946561973804033</v>
      </c>
      <c r="AG70" s="212"/>
      <c r="AH70" s="212"/>
      <c r="AI70" s="212"/>
      <c r="AJ70" s="212"/>
      <c r="AK70" s="212"/>
      <c r="AL70" s="212"/>
      <c r="AM70" s="212"/>
      <c r="AN70" s="212"/>
      <c r="AO70" s="212"/>
      <c r="AP70" s="196"/>
      <c r="AQ70" s="196"/>
      <c r="AR70" s="211"/>
      <c r="AS70" s="212">
        <f t="shared" si="2"/>
        <v>-3.1355592256905851E-3</v>
      </c>
      <c r="AT70" s="212">
        <f>[1]!LIM(AT69+Mode*r0*((1+IntegrationStep/2/Ti+Td/IntegrationStep)*AS70-(1-IntegrationStep/2/Ti+2*Td/IntegrationStep)*AS69+Td/IntegrationStep*AS68))</f>
        <v>0.44688941496349133</v>
      </c>
      <c r="AU70" s="212">
        <f t="shared" si="3"/>
        <v>40.794124671602574</v>
      </c>
      <c r="AW70" s="58"/>
      <c r="AX70" s="58"/>
      <c r="AY70" s="58"/>
      <c r="AZ70" s="58"/>
    </row>
    <row r="71" spans="1:52" s="185" customFormat="1" ht="15" customHeight="1" x14ac:dyDescent="0.25">
      <c r="A71" s="200"/>
      <c r="B71" s="211"/>
      <c r="C71" s="212">
        <f t="shared" si="4"/>
        <v>5.9999999999999947</v>
      </c>
      <c r="D71" s="231">
        <f>15+[1]!STEPLOAD(5)</f>
        <v>20</v>
      </c>
      <c r="E71" s="212">
        <f t="shared" si="6"/>
        <v>41.127146213909676</v>
      </c>
      <c r="F71" s="212">
        <f t="shared" si="7"/>
        <v>0.5</v>
      </c>
      <c r="G71" s="212">
        <f>5</f>
        <v>5</v>
      </c>
      <c r="H71" s="212">
        <f t="shared" si="5"/>
        <v>53.130868710737055</v>
      </c>
      <c r="I71" s="212">
        <f t="shared" si="8"/>
        <v>0.9</v>
      </c>
      <c r="J71" s="212">
        <f>1</f>
        <v>1</v>
      </c>
      <c r="K71" s="212">
        <f t="shared" si="9"/>
        <v>4.1870000000000003</v>
      </c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  <c r="AA71" s="212"/>
      <c r="AB71" s="212"/>
      <c r="AC71" s="196"/>
      <c r="AD71" s="27"/>
      <c r="AE71" s="213"/>
      <c r="AF71" s="212">
        <f t="shared" si="10"/>
        <v>0.17139246433453259</v>
      </c>
      <c r="AG71" s="212"/>
      <c r="AH71" s="212"/>
      <c r="AI71" s="212"/>
      <c r="AJ71" s="212"/>
      <c r="AK71" s="212"/>
      <c r="AL71" s="212"/>
      <c r="AM71" s="212"/>
      <c r="AN71" s="212"/>
      <c r="AO71" s="212"/>
      <c r="AP71" s="196"/>
      <c r="AQ71" s="196"/>
      <c r="AR71" s="211"/>
      <c r="AS71" s="212">
        <f t="shared" si="2"/>
        <v>-3.3302154230710102E-3</v>
      </c>
      <c r="AT71" s="212">
        <f>[1]!LIM(AT70+Mode*r0*((1+IntegrationStep/2/Ti+Td/IntegrationStep)*AS71-(1-IntegrationStep/2/Ti+2*Td/IntegrationStep)*AS70+Td/IntegrationStep*AS69))</f>
        <v>0.44275723925614213</v>
      </c>
      <c r="AU71" s="212">
        <f t="shared" si="3"/>
        <v>40.794124671602574</v>
      </c>
      <c r="AW71" s="58"/>
      <c r="AX71" s="58"/>
      <c r="AY71" s="58"/>
      <c r="AZ71" s="58"/>
    </row>
    <row r="72" spans="1:52" s="185" customFormat="1" ht="15" customHeight="1" x14ac:dyDescent="0.25">
      <c r="A72" s="200"/>
      <c r="B72" s="211"/>
      <c r="C72" s="212">
        <f t="shared" si="4"/>
        <v>6.0999999999999943</v>
      </c>
      <c r="D72" s="231">
        <f>15+[1]!STEPLOAD(5)</f>
        <v>20</v>
      </c>
      <c r="E72" s="212">
        <f t="shared" si="6"/>
        <v>41.144285460343127</v>
      </c>
      <c r="F72" s="212">
        <f t="shared" si="7"/>
        <v>0.5</v>
      </c>
      <c r="G72" s="212">
        <f>5</f>
        <v>5</v>
      </c>
      <c r="H72" s="212">
        <f t="shared" si="5"/>
        <v>52.6686462504492</v>
      </c>
      <c r="I72" s="212">
        <f t="shared" si="8"/>
        <v>0.9</v>
      </c>
      <c r="J72" s="212">
        <f>1</f>
        <v>1</v>
      </c>
      <c r="K72" s="212">
        <f t="shared" si="9"/>
        <v>4.1870000000000003</v>
      </c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196"/>
      <c r="AD72" s="27"/>
      <c r="AE72" s="213"/>
      <c r="AF72" s="212">
        <f t="shared" si="10"/>
        <v>0.14980750008005472</v>
      </c>
      <c r="AG72" s="212"/>
      <c r="AH72" s="212"/>
      <c r="AI72" s="212"/>
      <c r="AJ72" s="212"/>
      <c r="AK72" s="212"/>
      <c r="AL72" s="212"/>
      <c r="AM72" s="212"/>
      <c r="AN72" s="212"/>
      <c r="AO72" s="212"/>
      <c r="AP72" s="196"/>
      <c r="AQ72" s="196"/>
      <c r="AR72" s="211"/>
      <c r="AS72" s="212">
        <f t="shared" si="2"/>
        <v>-3.5016078874055266E-3</v>
      </c>
      <c r="AT72" s="212">
        <f>[1]!LIM(AT71+Mode*r0*((1+IntegrationStep/2/Ti+Td/IntegrationStep)*AS72-(1-IntegrationStep/2/Ti+2*Td/IntegrationStep)*AS71+Td/IntegrationStep*AS70))</f>
        <v>0.43890538542041002</v>
      </c>
      <c r="AU72" s="212">
        <f t="shared" si="3"/>
        <v>40.794124671602574</v>
      </c>
      <c r="AW72" s="58"/>
      <c r="AX72" s="58"/>
      <c r="AY72" s="58"/>
      <c r="AZ72" s="58"/>
    </row>
    <row r="73" spans="1:52" s="185" customFormat="1" ht="15" customHeight="1" x14ac:dyDescent="0.25">
      <c r="A73" s="200"/>
      <c r="B73" s="211"/>
      <c r="C73" s="212">
        <f t="shared" si="4"/>
        <v>6.199999999999994</v>
      </c>
      <c r="D73" s="231">
        <f>15+[1]!STEPLOAD(5)</f>
        <v>20</v>
      </c>
      <c r="E73" s="212">
        <f t="shared" si="6"/>
        <v>41.159266210351134</v>
      </c>
      <c r="F73" s="212">
        <f t="shared" si="7"/>
        <v>0.5</v>
      </c>
      <c r="G73" s="212">
        <f>5</f>
        <v>5</v>
      </c>
      <c r="H73" s="212">
        <f t="shared" si="5"/>
        <v>52.238049726620027</v>
      </c>
      <c r="I73" s="212">
        <f t="shared" si="8"/>
        <v>0.9</v>
      </c>
      <c r="J73" s="212">
        <f>1</f>
        <v>1</v>
      </c>
      <c r="K73" s="212">
        <f t="shared" si="9"/>
        <v>4.1870000000000003</v>
      </c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  <c r="AA73" s="212"/>
      <c r="AB73" s="212"/>
      <c r="AC73" s="196"/>
      <c r="AD73" s="27"/>
      <c r="AE73" s="213"/>
      <c r="AF73" s="212">
        <f t="shared" si="10"/>
        <v>0.12979799104790635</v>
      </c>
      <c r="AG73" s="212"/>
      <c r="AH73" s="212"/>
      <c r="AI73" s="212"/>
      <c r="AJ73" s="212"/>
      <c r="AK73" s="212"/>
      <c r="AL73" s="212"/>
      <c r="AM73" s="212"/>
      <c r="AN73" s="212"/>
      <c r="AO73" s="212"/>
      <c r="AP73" s="196"/>
      <c r="AQ73" s="196"/>
      <c r="AR73" s="211"/>
      <c r="AS73" s="212">
        <f t="shared" si="2"/>
        <v>-3.651415387485599E-3</v>
      </c>
      <c r="AT73" s="212">
        <f>[1]!LIM(AT72+Mode*r0*((1+IntegrationStep/2/Ti+Td/IntegrationStep)*AS73-(1-IntegrationStep/2/Ti+2*Td/IntegrationStep)*AS72+Td/IntegrationStep*AS71))</f>
        <v>0.43531708105516687</v>
      </c>
      <c r="AU73" s="212">
        <f t="shared" si="3"/>
        <v>40.794124671602574</v>
      </c>
      <c r="AW73" s="58"/>
      <c r="AX73" s="58"/>
      <c r="AY73" s="58"/>
      <c r="AZ73" s="58"/>
    </row>
    <row r="74" spans="1:52" s="185" customFormat="1" ht="15" customHeight="1" x14ac:dyDescent="0.25">
      <c r="A74" s="200"/>
      <c r="B74" s="211"/>
      <c r="C74" s="212">
        <f t="shared" si="4"/>
        <v>6.2999999999999936</v>
      </c>
      <c r="D74" s="231">
        <f>15+[1]!STEPLOAD(5)</f>
        <v>20</v>
      </c>
      <c r="E74" s="212">
        <f t="shared" si="6"/>
        <v>41.172246009455925</v>
      </c>
      <c r="F74" s="212">
        <f t="shared" si="7"/>
        <v>0.5</v>
      </c>
      <c r="G74" s="212">
        <f>5</f>
        <v>5</v>
      </c>
      <c r="H74" s="212">
        <f t="shared" si="5"/>
        <v>51.837179195498358</v>
      </c>
      <c r="I74" s="212">
        <f t="shared" si="8"/>
        <v>0.9</v>
      </c>
      <c r="J74" s="212">
        <f>1</f>
        <v>1</v>
      </c>
      <c r="K74" s="212">
        <f t="shared" si="9"/>
        <v>4.1870000000000003</v>
      </c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196"/>
      <c r="AD74" s="27"/>
      <c r="AE74" s="213"/>
      <c r="AF74" s="212">
        <f t="shared" si="10"/>
        <v>0.11126650370922109</v>
      </c>
      <c r="AG74" s="212"/>
      <c r="AH74" s="212"/>
      <c r="AI74" s="212"/>
      <c r="AJ74" s="212"/>
      <c r="AK74" s="212"/>
      <c r="AL74" s="212"/>
      <c r="AM74" s="212"/>
      <c r="AN74" s="212"/>
      <c r="AO74" s="212"/>
      <c r="AP74" s="196"/>
      <c r="AQ74" s="196"/>
      <c r="AR74" s="211"/>
      <c r="AS74" s="212">
        <f t="shared" si="2"/>
        <v>-3.7812133785335078E-3</v>
      </c>
      <c r="AT74" s="212">
        <f>[1]!LIM(AT73+Mode*r0*((1+IntegrationStep/2/Ti+Td/IntegrationStep)*AS74-(1-IntegrationStep/2/Ti+2*Td/IntegrationStep)*AS73+Td/IntegrationStep*AS72))</f>
        <v>0.43197649329581966</v>
      </c>
      <c r="AU74" s="212">
        <f t="shared" si="3"/>
        <v>40.794124671602574</v>
      </c>
      <c r="AW74" s="58"/>
      <c r="AX74" s="58"/>
      <c r="AY74" s="58"/>
      <c r="AZ74" s="58"/>
    </row>
    <row r="75" spans="1:52" s="185" customFormat="1" ht="15" customHeight="1" x14ac:dyDescent="0.25">
      <c r="A75" s="200"/>
      <c r="B75" s="211"/>
      <c r="C75" s="212">
        <f t="shared" si="4"/>
        <v>6.3999999999999932</v>
      </c>
      <c r="D75" s="231">
        <f>15+[1]!STEPLOAD(5)</f>
        <v>20</v>
      </c>
      <c r="E75" s="212">
        <f t="shared" si="6"/>
        <v>41.183372659826844</v>
      </c>
      <c r="F75" s="212">
        <f t="shared" si="7"/>
        <v>0.5</v>
      </c>
      <c r="G75" s="212">
        <f>5</f>
        <v>5</v>
      </c>
      <c r="H75" s="212">
        <f t="shared" si="5"/>
        <v>51.464241390454362</v>
      </c>
      <c r="I75" s="212">
        <f t="shared" si="8"/>
        <v>0.9</v>
      </c>
      <c r="J75" s="212">
        <f>1</f>
        <v>1</v>
      </c>
      <c r="K75" s="212">
        <f t="shared" si="9"/>
        <v>4.1870000000000003</v>
      </c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  <c r="AA75" s="212"/>
      <c r="AB75" s="212"/>
      <c r="AC75" s="196"/>
      <c r="AD75" s="27"/>
      <c r="AE75" s="213"/>
      <c r="AF75" s="212">
        <f t="shared" si="10"/>
        <v>9.4121164942031044E-2</v>
      </c>
      <c r="AG75" s="212"/>
      <c r="AH75" s="212"/>
      <c r="AI75" s="212"/>
      <c r="AJ75" s="212"/>
      <c r="AK75" s="212"/>
      <c r="AL75" s="212"/>
      <c r="AM75" s="212"/>
      <c r="AN75" s="212"/>
      <c r="AO75" s="212"/>
      <c r="AP75" s="196"/>
      <c r="AQ75" s="196"/>
      <c r="AR75" s="211"/>
      <c r="AS75" s="212">
        <f t="shared" ref="AS75:AS138" si="11">(AU75-E75)/(MeasuredVariableHigher-MeasuredVariableLower)</f>
        <v>-3.8924798822426963E-3</v>
      </c>
      <c r="AT75" s="212">
        <f>[1]!LIM(AT74+Mode*r0*((1+IntegrationStep/2/Ti+Td/IntegrationStep)*AS75-(1-IntegrationStep/2/Ti+2*Td/IntegrationStep)*AS74+Td/IntegrationStep*AS73))</f>
        <v>0.42886867825378633</v>
      </c>
      <c r="AU75" s="212">
        <f t="shared" ref="AU75:AU138" si="12">SetPoint</f>
        <v>40.794124671602574</v>
      </c>
      <c r="AW75" s="58"/>
      <c r="AX75" s="58"/>
      <c r="AY75" s="58"/>
      <c r="AZ75" s="58"/>
    </row>
    <row r="76" spans="1:52" s="185" customFormat="1" ht="15" customHeight="1" x14ac:dyDescent="0.25">
      <c r="A76" s="200"/>
      <c r="B76" s="211"/>
      <c r="C76" s="212">
        <f t="shared" ref="C76:C139" si="13">C75+IntegrationStep</f>
        <v>6.4999999999999929</v>
      </c>
      <c r="D76" s="231">
        <f>15+[1]!STEPLOAD(5)</f>
        <v>20</v>
      </c>
      <c r="E76" s="212">
        <f t="shared" si="6"/>
        <v>41.192784776321048</v>
      </c>
      <c r="F76" s="212">
        <f t="shared" si="7"/>
        <v>0.5</v>
      </c>
      <c r="G76" s="212">
        <f>5</f>
        <v>5</v>
      </c>
      <c r="H76" s="212">
        <f t="shared" ref="H76:H139" si="14">ManipulatedVariableHigher*AT76</f>
        <v>51.117543972646573</v>
      </c>
      <c r="I76" s="212">
        <f t="shared" si="8"/>
        <v>0.9</v>
      </c>
      <c r="J76" s="212">
        <f>1</f>
        <v>1</v>
      </c>
      <c r="K76" s="212">
        <f t="shared" si="9"/>
        <v>4.1870000000000003</v>
      </c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  <c r="AA76" s="212"/>
      <c r="AB76" s="212"/>
      <c r="AC76" s="196"/>
      <c r="AD76" s="27"/>
      <c r="AE76" s="213"/>
      <c r="AF76" s="212">
        <f t="shared" si="10"/>
        <v>7.8275359262182764E-2</v>
      </c>
      <c r="AG76" s="212"/>
      <c r="AH76" s="212"/>
      <c r="AI76" s="212"/>
      <c r="AJ76" s="212"/>
      <c r="AK76" s="212"/>
      <c r="AL76" s="212"/>
      <c r="AM76" s="212"/>
      <c r="AN76" s="212"/>
      <c r="AO76" s="212"/>
      <c r="AP76" s="196"/>
      <c r="AQ76" s="196"/>
      <c r="AR76" s="211"/>
      <c r="AS76" s="212">
        <f t="shared" si="11"/>
        <v>-3.9866010471847346E-3</v>
      </c>
      <c r="AT76" s="212">
        <f>[1]!LIM(AT75+Mode*r0*((1+IntegrationStep/2/Ti+Td/IntegrationStep)*AS76-(1-IntegrationStep/2/Ti+2*Td/IntegrationStep)*AS75+Td/IntegrationStep*AS74))</f>
        <v>0.42597953310538811</v>
      </c>
      <c r="AU76" s="212">
        <f t="shared" si="12"/>
        <v>40.794124671602574</v>
      </c>
      <c r="AW76" s="58"/>
      <c r="AX76" s="58"/>
      <c r="AY76" s="58"/>
      <c r="AZ76" s="58"/>
    </row>
    <row r="77" spans="1:52" s="185" customFormat="1" ht="15" customHeight="1" x14ac:dyDescent="0.25">
      <c r="A77" s="200"/>
      <c r="B77" s="211"/>
      <c r="C77" s="212">
        <f t="shared" si="13"/>
        <v>6.5999999999999925</v>
      </c>
      <c r="D77" s="231">
        <f>15+[1]!STEPLOAD(5)</f>
        <v>20</v>
      </c>
      <c r="E77" s="212">
        <f t="shared" ref="E77:E140" si="15">E76+(C77-C76)*AF76</f>
        <v>41.200612312247266</v>
      </c>
      <c r="F77" s="212">
        <f t="shared" ref="F77:F140" si="16">0.5</f>
        <v>0.5</v>
      </c>
      <c r="G77" s="212">
        <f>5</f>
        <v>5</v>
      </c>
      <c r="H77" s="212">
        <f t="shared" si="14"/>
        <v>50.795490083267943</v>
      </c>
      <c r="I77" s="212">
        <f t="shared" ref="I77:I140" si="17">0.9</f>
        <v>0.9</v>
      </c>
      <c r="J77" s="212">
        <f>1</f>
        <v>1</v>
      </c>
      <c r="K77" s="212">
        <f t="shared" ref="K77:K140" si="18">4.187</f>
        <v>4.1870000000000003</v>
      </c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  <c r="AA77" s="212"/>
      <c r="AB77" s="212"/>
      <c r="AC77" s="196"/>
      <c r="AD77" s="27"/>
      <c r="AE77" s="213"/>
      <c r="AF77" s="212">
        <f t="shared" ref="AF77:AF140" si="19">F77/G77*(D77-E77)+H77*I77/G77/J77/K77</f>
        <v>6.3647442046883107E-2</v>
      </c>
      <c r="AG77" s="212"/>
      <c r="AH77" s="212"/>
      <c r="AI77" s="212"/>
      <c r="AJ77" s="212"/>
      <c r="AK77" s="212"/>
      <c r="AL77" s="212"/>
      <c r="AM77" s="212"/>
      <c r="AN77" s="212"/>
      <c r="AO77" s="212"/>
      <c r="AP77" s="196"/>
      <c r="AQ77" s="196"/>
      <c r="AR77" s="211"/>
      <c r="AS77" s="212">
        <f t="shared" si="11"/>
        <v>-4.0648764064469137E-3</v>
      </c>
      <c r="AT77" s="212">
        <f>[1]!LIM(AT76+Mode*r0*((1+IntegrationStep/2/Ti+Td/IntegrationStep)*AS77-(1-IntegrationStep/2/Ti+2*Td/IntegrationStep)*AS76+Td/IntegrationStep*AS75))</f>
        <v>0.42329575069389952</v>
      </c>
      <c r="AU77" s="212">
        <f t="shared" si="12"/>
        <v>40.794124671602574</v>
      </c>
      <c r="AW77" s="58"/>
      <c r="AX77" s="58"/>
      <c r="AY77" s="58"/>
      <c r="AZ77" s="58"/>
    </row>
    <row r="78" spans="1:52" s="185" customFormat="1" ht="15" customHeight="1" x14ac:dyDescent="0.25">
      <c r="A78" s="200"/>
      <c r="B78" s="211"/>
      <c r="C78" s="212">
        <f t="shared" si="13"/>
        <v>6.6999999999999922</v>
      </c>
      <c r="D78" s="231">
        <f>15+[1]!STEPLOAD(5)</f>
        <v>20</v>
      </c>
      <c r="E78" s="212">
        <f t="shared" si="15"/>
        <v>41.206977056451954</v>
      </c>
      <c r="F78" s="212">
        <f t="shared" si="16"/>
        <v>0.5</v>
      </c>
      <c r="G78" s="212">
        <f>5</f>
        <v>5</v>
      </c>
      <c r="H78" s="212">
        <f t="shared" si="14"/>
        <v>50.496573181847388</v>
      </c>
      <c r="I78" s="212">
        <f t="shared" si="17"/>
        <v>0.9</v>
      </c>
      <c r="J78" s="212">
        <f>1</f>
        <v>1</v>
      </c>
      <c r="K78" s="212">
        <f t="shared" si="18"/>
        <v>4.1870000000000003</v>
      </c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  <c r="AA78" s="212"/>
      <c r="AB78" s="212"/>
      <c r="AC78" s="196"/>
      <c r="AD78" s="27"/>
      <c r="AE78" s="213"/>
      <c r="AF78" s="212">
        <f t="shared" si="19"/>
        <v>5.0160467923595853E-2</v>
      </c>
      <c r="AG78" s="212"/>
      <c r="AH78" s="212"/>
      <c r="AI78" s="212"/>
      <c r="AJ78" s="212"/>
      <c r="AK78" s="212"/>
      <c r="AL78" s="212"/>
      <c r="AM78" s="212"/>
      <c r="AN78" s="212"/>
      <c r="AO78" s="212"/>
      <c r="AP78" s="196"/>
      <c r="AQ78" s="196"/>
      <c r="AR78" s="211"/>
      <c r="AS78" s="212">
        <f t="shared" si="11"/>
        <v>-4.1285238484937989E-3</v>
      </c>
      <c r="AT78" s="212">
        <f>[1]!LIM(AT77+Mode*r0*((1+IntegrationStep/2/Ti+Td/IntegrationStep)*AS78-(1-IntegrationStep/2/Ti+2*Td/IntegrationStep)*AS77+Td/IntegrationStep*AS76))</f>
        <v>0.42080477651539488</v>
      </c>
      <c r="AU78" s="212">
        <f t="shared" si="12"/>
        <v>40.794124671602574</v>
      </c>
      <c r="AW78" s="58"/>
      <c r="AX78" s="58"/>
      <c r="AY78" s="58"/>
      <c r="AZ78" s="58"/>
    </row>
    <row r="79" spans="1:52" s="185" customFormat="1" ht="15" customHeight="1" x14ac:dyDescent="0.25">
      <c r="A79" s="200"/>
      <c r="B79" s="211"/>
      <c r="C79" s="212">
        <f t="shared" si="13"/>
        <v>6.7999999999999918</v>
      </c>
      <c r="D79" s="231">
        <f>15+[1]!STEPLOAD(5)</f>
        <v>20</v>
      </c>
      <c r="E79" s="212">
        <f t="shared" si="15"/>
        <v>41.211993103244311</v>
      </c>
      <c r="F79" s="212">
        <f t="shared" si="16"/>
        <v>0.5</v>
      </c>
      <c r="G79" s="212">
        <f>5</f>
        <v>5</v>
      </c>
      <c r="H79" s="212">
        <f t="shared" si="14"/>
        <v>50.219372155874474</v>
      </c>
      <c r="I79" s="212">
        <f t="shared" si="17"/>
        <v>0.9</v>
      </c>
      <c r="J79" s="212">
        <f>1</f>
        <v>1</v>
      </c>
      <c r="K79" s="212">
        <f t="shared" si="18"/>
        <v>4.1870000000000003</v>
      </c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  <c r="AA79" s="212"/>
      <c r="AB79" s="212"/>
      <c r="AC79" s="196"/>
      <c r="AD79" s="27"/>
      <c r="AE79" s="213"/>
      <c r="AF79" s="212">
        <f t="shared" si="19"/>
        <v>3.7741933539290784E-2</v>
      </c>
      <c r="AG79" s="212"/>
      <c r="AH79" s="212"/>
      <c r="AI79" s="212"/>
      <c r="AJ79" s="212"/>
      <c r="AK79" s="212"/>
      <c r="AL79" s="212"/>
      <c r="AM79" s="212"/>
      <c r="AN79" s="212"/>
      <c r="AO79" s="212"/>
      <c r="AP79" s="196"/>
      <c r="AQ79" s="196"/>
      <c r="AR79" s="211"/>
      <c r="AS79" s="212">
        <f t="shared" si="11"/>
        <v>-4.1786843164173604E-3</v>
      </c>
      <c r="AT79" s="212">
        <f>[1]!LIM(AT78+Mode*r0*((1+IntegrationStep/2/Ti+Td/IntegrationStep)*AS79-(1-IntegrationStep/2/Ti+2*Td/IntegrationStep)*AS78+Td/IntegrationStep*AS77))</f>
        <v>0.41849476796562063</v>
      </c>
      <c r="AU79" s="212">
        <f t="shared" si="12"/>
        <v>40.794124671602574</v>
      </c>
      <c r="AW79" s="58"/>
      <c r="AX79" s="58"/>
      <c r="AY79" s="58"/>
      <c r="AZ79" s="58"/>
    </row>
    <row r="80" spans="1:52" s="185" customFormat="1" ht="15" customHeight="1" x14ac:dyDescent="0.25">
      <c r="A80" s="200"/>
      <c r="B80" s="211"/>
      <c r="C80" s="212">
        <f t="shared" si="13"/>
        <v>6.8999999999999915</v>
      </c>
      <c r="D80" s="231">
        <f>15+[1]!STEPLOAD(5)</f>
        <v>20</v>
      </c>
      <c r="E80" s="212">
        <f t="shared" si="15"/>
        <v>41.215767296598237</v>
      </c>
      <c r="F80" s="212">
        <f t="shared" si="16"/>
        <v>0.5</v>
      </c>
      <c r="G80" s="212">
        <f>5</f>
        <v>5</v>
      </c>
      <c r="H80" s="212">
        <f t="shared" si="14"/>
        <v>49.96254668776038</v>
      </c>
      <c r="I80" s="212">
        <f t="shared" si="17"/>
        <v>0.9</v>
      </c>
      <c r="J80" s="212">
        <f>1</f>
        <v>1</v>
      </c>
      <c r="K80" s="212">
        <f t="shared" si="18"/>
        <v>4.1870000000000003</v>
      </c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  <c r="AA80" s="212"/>
      <c r="AB80" s="212"/>
      <c r="AC80" s="196"/>
      <c r="AD80" s="27"/>
      <c r="AE80" s="213"/>
      <c r="AF80" s="212">
        <f t="shared" si="19"/>
        <v>2.6323533964935919E-2</v>
      </c>
      <c r="AG80" s="212"/>
      <c r="AH80" s="212"/>
      <c r="AI80" s="212"/>
      <c r="AJ80" s="212"/>
      <c r="AK80" s="212"/>
      <c r="AL80" s="212"/>
      <c r="AM80" s="212"/>
      <c r="AN80" s="212"/>
      <c r="AO80" s="212"/>
      <c r="AP80" s="196"/>
      <c r="AQ80" s="196"/>
      <c r="AR80" s="211"/>
      <c r="AS80" s="212">
        <f t="shared" si="11"/>
        <v>-4.2164262499566263E-3</v>
      </c>
      <c r="AT80" s="212">
        <f>[1]!LIM(AT79+Mode*r0*((1+IntegrationStep/2/Ti+Td/IntegrationStep)*AS80-(1-IntegrationStep/2/Ti+2*Td/IntegrationStep)*AS79+Td/IntegrationStep*AS78))</f>
        <v>0.41635455573133651</v>
      </c>
      <c r="AU80" s="212">
        <f t="shared" si="12"/>
        <v>40.794124671602574</v>
      </c>
      <c r="AW80" s="58"/>
      <c r="AX80" s="58"/>
      <c r="AY80" s="58"/>
      <c r="AZ80" s="58"/>
    </row>
    <row r="81" spans="1:52" s="185" customFormat="1" ht="15" customHeight="1" x14ac:dyDescent="0.25">
      <c r="A81" s="200"/>
      <c r="B81" s="211"/>
      <c r="C81" s="212">
        <f t="shared" si="13"/>
        <v>6.9999999999999911</v>
      </c>
      <c r="D81" s="231">
        <f>15+[1]!STEPLOAD(5)</f>
        <v>20</v>
      </c>
      <c r="E81" s="212">
        <f t="shared" si="15"/>
        <v>41.21839964999473</v>
      </c>
      <c r="F81" s="212">
        <f t="shared" si="16"/>
        <v>0.5</v>
      </c>
      <c r="G81" s="212">
        <f>5</f>
        <v>5</v>
      </c>
      <c r="H81" s="212">
        <f t="shared" si="14"/>
        <v>49.724832865861259</v>
      </c>
      <c r="I81" s="212">
        <f t="shared" si="17"/>
        <v>0.9</v>
      </c>
      <c r="J81" s="212">
        <f>1</f>
        <v>1</v>
      </c>
      <c r="K81" s="212">
        <f t="shared" si="18"/>
        <v>4.1870000000000003</v>
      </c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  <c r="AA81" s="212"/>
      <c r="AB81" s="212"/>
      <c r="AC81" s="196"/>
      <c r="AD81" s="27"/>
      <c r="AE81" s="213"/>
      <c r="AF81" s="212">
        <f t="shared" si="19"/>
        <v>1.5840932028237997E-2</v>
      </c>
      <c r="AG81" s="212"/>
      <c r="AH81" s="212"/>
      <c r="AI81" s="212"/>
      <c r="AJ81" s="212"/>
      <c r="AK81" s="212"/>
      <c r="AL81" s="212"/>
      <c r="AM81" s="212"/>
      <c r="AN81" s="212"/>
      <c r="AO81" s="212"/>
      <c r="AP81" s="196"/>
      <c r="AQ81" s="196"/>
      <c r="AR81" s="211"/>
      <c r="AS81" s="212">
        <f t="shared" si="11"/>
        <v>-4.2427497839215532E-3</v>
      </c>
      <c r="AT81" s="212">
        <f>[1]!LIM(AT80+Mode*r0*((1+IntegrationStep/2/Ti+Td/IntegrationStep)*AS81-(1-IntegrationStep/2/Ti+2*Td/IntegrationStep)*AS80+Td/IntegrationStep*AS79))</f>
        <v>0.41437360721551048</v>
      </c>
      <c r="AU81" s="212">
        <f t="shared" si="12"/>
        <v>40.794124671602574</v>
      </c>
      <c r="AW81" s="58"/>
      <c r="AX81" s="58"/>
      <c r="AY81" s="58"/>
      <c r="AZ81" s="58"/>
    </row>
    <row r="82" spans="1:52" s="185" customFormat="1" ht="15" customHeight="1" x14ac:dyDescent="0.25">
      <c r="A82" s="200"/>
      <c r="B82" s="211"/>
      <c r="C82" s="212">
        <f t="shared" si="13"/>
        <v>7.0999999999999908</v>
      </c>
      <c r="D82" s="231">
        <f>15+[1]!STEPLOAD(5)</f>
        <v>20</v>
      </c>
      <c r="E82" s="212">
        <f t="shared" si="15"/>
        <v>41.219983743197552</v>
      </c>
      <c r="F82" s="212">
        <f t="shared" si="16"/>
        <v>0.5</v>
      </c>
      <c r="G82" s="212">
        <f>5</f>
        <v>5</v>
      </c>
      <c r="H82" s="212">
        <f t="shared" si="14"/>
        <v>49.505039026963345</v>
      </c>
      <c r="I82" s="212">
        <f t="shared" si="17"/>
        <v>0.9</v>
      </c>
      <c r="J82" s="212">
        <f>1</f>
        <v>1</v>
      </c>
      <c r="K82" s="212">
        <f t="shared" si="18"/>
        <v>4.1870000000000003</v>
      </c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  <c r="AA82" s="212"/>
      <c r="AB82" s="212"/>
      <c r="AC82" s="196"/>
      <c r="AD82" s="27"/>
      <c r="AE82" s="213"/>
      <c r="AF82" s="212">
        <f t="shared" si="19"/>
        <v>6.233539903651053E-3</v>
      </c>
      <c r="AG82" s="212"/>
      <c r="AH82" s="212"/>
      <c r="AI82" s="212"/>
      <c r="AJ82" s="212"/>
      <c r="AK82" s="212"/>
      <c r="AL82" s="212"/>
      <c r="AM82" s="212"/>
      <c r="AN82" s="212"/>
      <c r="AO82" s="212"/>
      <c r="AP82" s="196"/>
      <c r="AQ82" s="196"/>
      <c r="AR82" s="211"/>
      <c r="AS82" s="212">
        <f t="shared" si="11"/>
        <v>-4.2585907159497791E-3</v>
      </c>
      <c r="AT82" s="212">
        <f>[1]!LIM(AT81+Mode*r0*((1+IntegrationStep/2/Ti+Td/IntegrationStep)*AS82-(1-IntegrationStep/2/Ti+2*Td/IntegrationStep)*AS81+Td/IntegrationStep*AS80))</f>
        <v>0.4125419918913612</v>
      </c>
      <c r="AU82" s="212">
        <f t="shared" si="12"/>
        <v>40.794124671602574</v>
      </c>
      <c r="AW82" s="58"/>
      <c r="AX82" s="58"/>
      <c r="AY82" s="58"/>
      <c r="AZ82" s="58"/>
    </row>
    <row r="83" spans="1:52" s="185" customFormat="1" ht="15" customHeight="1" x14ac:dyDescent="0.25">
      <c r="A83" s="200"/>
      <c r="B83" s="211"/>
      <c r="C83" s="212">
        <f t="shared" si="13"/>
        <v>7.1999999999999904</v>
      </c>
      <c r="D83" s="231">
        <f>15+[1]!STEPLOAD(5)</f>
        <v>20</v>
      </c>
      <c r="E83" s="212">
        <f t="shared" si="15"/>
        <v>41.220607097187916</v>
      </c>
      <c r="F83" s="212">
        <f t="shared" si="16"/>
        <v>0.5</v>
      </c>
      <c r="G83" s="212">
        <f>5</f>
        <v>5</v>
      </c>
      <c r="H83" s="212">
        <f t="shared" si="14"/>
        <v>49.302041818271235</v>
      </c>
      <c r="I83" s="212">
        <f t="shared" si="17"/>
        <v>0.9</v>
      </c>
      <c r="J83" s="212">
        <f>1</f>
        <v>1</v>
      </c>
      <c r="K83" s="212">
        <f t="shared" si="18"/>
        <v>4.1870000000000003</v>
      </c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196"/>
      <c r="AD83" s="27"/>
      <c r="AE83" s="213"/>
      <c r="AF83" s="212">
        <f t="shared" si="19"/>
        <v>-2.5556876770380654E-3</v>
      </c>
      <c r="AG83" s="212"/>
      <c r="AH83" s="212"/>
      <c r="AI83" s="212"/>
      <c r="AJ83" s="212"/>
      <c r="AK83" s="212"/>
      <c r="AL83" s="212"/>
      <c r="AM83" s="212"/>
      <c r="AN83" s="212"/>
      <c r="AO83" s="212"/>
      <c r="AP83" s="196"/>
      <c r="AQ83" s="196"/>
      <c r="AR83" s="211"/>
      <c r="AS83" s="212">
        <f t="shared" si="11"/>
        <v>-4.2648242558534118E-3</v>
      </c>
      <c r="AT83" s="212">
        <f>[1]!LIM(AT82+Mode*r0*((1+IntegrationStep/2/Ti+Td/IntegrationStep)*AS83-(1-IntegrationStep/2/Ti+2*Td/IntegrationStep)*AS82+Td/IntegrationStep*AS81))</f>
        <v>0.41085034848559365</v>
      </c>
      <c r="AU83" s="212">
        <f t="shared" si="12"/>
        <v>40.794124671602574</v>
      </c>
      <c r="AW83" s="58"/>
      <c r="AX83" s="58"/>
      <c r="AY83" s="58"/>
      <c r="AZ83" s="58"/>
    </row>
    <row r="84" spans="1:52" s="185" customFormat="1" ht="15" customHeight="1" x14ac:dyDescent="0.25">
      <c r="A84" s="200"/>
      <c r="B84" s="211"/>
      <c r="C84" s="212">
        <f t="shared" si="13"/>
        <v>7.2999999999999901</v>
      </c>
      <c r="D84" s="231">
        <f>15+[1]!STEPLOAD(5)</f>
        <v>20</v>
      </c>
      <c r="E84" s="212">
        <f t="shared" si="15"/>
        <v>41.22035152842021</v>
      </c>
      <c r="F84" s="212">
        <f t="shared" si="16"/>
        <v>0.5</v>
      </c>
      <c r="G84" s="212">
        <f>5</f>
        <v>5</v>
      </c>
      <c r="H84" s="212">
        <f t="shared" si="14"/>
        <v>49.114782467549276</v>
      </c>
      <c r="I84" s="212">
        <f t="shared" si="17"/>
        <v>0.9</v>
      </c>
      <c r="J84" s="212">
        <f>1</f>
        <v>1</v>
      </c>
      <c r="K84" s="212">
        <f t="shared" si="18"/>
        <v>4.1870000000000003</v>
      </c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2"/>
      <c r="AB84" s="212"/>
      <c r="AC84" s="196"/>
      <c r="AD84" s="27"/>
      <c r="AE84" s="213"/>
      <c r="AF84" s="212">
        <f t="shared" si="19"/>
        <v>-1.0580449197676867E-2</v>
      </c>
      <c r="AG84" s="212"/>
      <c r="AH84" s="212"/>
      <c r="AI84" s="212"/>
      <c r="AJ84" s="212"/>
      <c r="AK84" s="212"/>
      <c r="AL84" s="212"/>
      <c r="AM84" s="212"/>
      <c r="AN84" s="212"/>
      <c r="AO84" s="212"/>
      <c r="AP84" s="196"/>
      <c r="AQ84" s="196"/>
      <c r="AR84" s="211"/>
      <c r="AS84" s="212">
        <f t="shared" si="11"/>
        <v>-4.2622685681763528E-3</v>
      </c>
      <c r="AT84" s="212">
        <f>[1]!LIM(AT83+Mode*r0*((1+IntegrationStep/2/Ti+Td/IntegrationStep)*AS84-(1-IntegrationStep/2/Ti+2*Td/IntegrationStep)*AS83+Td/IntegrationStep*AS82))</f>
        <v>0.40928985389624395</v>
      </c>
      <c r="AU84" s="212">
        <f t="shared" si="12"/>
        <v>40.794124671602574</v>
      </c>
      <c r="AW84" s="58"/>
      <c r="AX84" s="58"/>
      <c r="AY84" s="58"/>
      <c r="AZ84" s="58"/>
    </row>
    <row r="85" spans="1:52" s="185" customFormat="1" ht="15" customHeight="1" x14ac:dyDescent="0.25">
      <c r="A85" s="200"/>
      <c r="B85" s="211"/>
      <c r="C85" s="212">
        <f t="shared" si="13"/>
        <v>7.3999999999999897</v>
      </c>
      <c r="D85" s="231">
        <f>15+[1]!STEPLOAD(5)</f>
        <v>20</v>
      </c>
      <c r="E85" s="212">
        <f t="shared" si="15"/>
        <v>41.219293483500444</v>
      </c>
      <c r="F85" s="212">
        <f t="shared" si="16"/>
        <v>0.5</v>
      </c>
      <c r="G85" s="212">
        <f>5</f>
        <v>5</v>
      </c>
      <c r="H85" s="212">
        <f t="shared" si="14"/>
        <v>48.942263250644075</v>
      </c>
      <c r="I85" s="212">
        <f t="shared" si="17"/>
        <v>0.9</v>
      </c>
      <c r="J85" s="212">
        <f>1</f>
        <v>1</v>
      </c>
      <c r="K85" s="212">
        <f t="shared" si="18"/>
        <v>4.1870000000000003</v>
      </c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  <c r="AA85" s="212"/>
      <c r="AB85" s="212"/>
      <c r="AC85" s="196"/>
      <c r="AD85" s="27"/>
      <c r="AE85" s="213"/>
      <c r="AF85" s="212">
        <f t="shared" si="19"/>
        <v>-1.7891281687533844E-2</v>
      </c>
      <c r="AG85" s="212"/>
      <c r="AH85" s="212"/>
      <c r="AI85" s="212"/>
      <c r="AJ85" s="212"/>
      <c r="AK85" s="212"/>
      <c r="AL85" s="212"/>
      <c r="AM85" s="212"/>
      <c r="AN85" s="212"/>
      <c r="AO85" s="212"/>
      <c r="AP85" s="196"/>
      <c r="AQ85" s="196"/>
      <c r="AR85" s="211"/>
      <c r="AS85" s="212">
        <f t="shared" si="11"/>
        <v>-4.2516881189786915E-3</v>
      </c>
      <c r="AT85" s="212">
        <f>[1]!LIM(AT84+Mode*r0*((1+IntegrationStep/2/Ti+Td/IntegrationStep)*AS85-(1-IntegrationStep/2/Ti+2*Td/IntegrationStep)*AS84+Td/IntegrationStep*AS83))</f>
        <v>0.4078521937553673</v>
      </c>
      <c r="AU85" s="212">
        <f t="shared" si="12"/>
        <v>40.794124671602574</v>
      </c>
      <c r="AW85" s="58"/>
      <c r="AX85" s="58"/>
      <c r="AY85" s="58"/>
      <c r="AZ85" s="58"/>
    </row>
    <row r="86" spans="1:52" s="185" customFormat="1" ht="15" customHeight="1" x14ac:dyDescent="0.25">
      <c r="A86" s="200"/>
      <c r="B86" s="211"/>
      <c r="C86" s="212">
        <f t="shared" si="13"/>
        <v>7.4999999999999893</v>
      </c>
      <c r="D86" s="231">
        <f>15+[1]!STEPLOAD(5)</f>
        <v>20</v>
      </c>
      <c r="E86" s="212">
        <f t="shared" si="15"/>
        <v>41.217504355331691</v>
      </c>
      <c r="F86" s="212">
        <f t="shared" si="16"/>
        <v>0.5</v>
      </c>
      <c r="G86" s="212">
        <f>5</f>
        <v>5</v>
      </c>
      <c r="H86" s="212">
        <f t="shared" si="14"/>
        <v>48.783544146165546</v>
      </c>
      <c r="I86" s="212">
        <f t="shared" si="17"/>
        <v>0.9</v>
      </c>
      <c r="J86" s="212">
        <f>1</f>
        <v>1</v>
      </c>
      <c r="K86" s="212">
        <f t="shared" si="18"/>
        <v>4.1870000000000003</v>
      </c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  <c r="AA86" s="212"/>
      <c r="AB86" s="212"/>
      <c r="AC86" s="196"/>
      <c r="AD86" s="27"/>
      <c r="AE86" s="213"/>
      <c r="AF86" s="212">
        <f t="shared" si="19"/>
        <v>-2.4535736151798826E-2</v>
      </c>
      <c r="AG86" s="212"/>
      <c r="AH86" s="212"/>
      <c r="AI86" s="212"/>
      <c r="AJ86" s="212"/>
      <c r="AK86" s="212"/>
      <c r="AL86" s="212"/>
      <c r="AM86" s="212"/>
      <c r="AN86" s="212"/>
      <c r="AO86" s="212"/>
      <c r="AP86" s="196"/>
      <c r="AQ86" s="196"/>
      <c r="AR86" s="211"/>
      <c r="AS86" s="212">
        <f t="shared" si="11"/>
        <v>-4.2337968372911658E-3</v>
      </c>
      <c r="AT86" s="212">
        <f>[1]!LIM(AT85+Mode*r0*((1+IntegrationStep/2/Ti+Td/IntegrationStep)*AS86-(1-IntegrationStep/2/Ti+2*Td/IntegrationStep)*AS85+Td/IntegrationStep*AS84))</f>
        <v>0.40652953455137958</v>
      </c>
      <c r="AU86" s="212">
        <f t="shared" si="12"/>
        <v>40.794124671602574</v>
      </c>
      <c r="AW86" s="58"/>
      <c r="AX86" s="58"/>
      <c r="AY86" s="58"/>
      <c r="AZ86" s="58"/>
    </row>
    <row r="87" spans="1:52" s="185" customFormat="1" ht="15" customHeight="1" x14ac:dyDescent="0.25">
      <c r="A87" s="200"/>
      <c r="B87" s="211"/>
      <c r="C87" s="212">
        <f t="shared" si="13"/>
        <v>7.599999999999989</v>
      </c>
      <c r="D87" s="231">
        <f>15+[1]!STEPLOAD(5)</f>
        <v>20</v>
      </c>
      <c r="E87" s="212">
        <f t="shared" si="15"/>
        <v>41.215050781716513</v>
      </c>
      <c r="F87" s="212">
        <f t="shared" si="16"/>
        <v>0.5</v>
      </c>
      <c r="G87" s="212">
        <f>5</f>
        <v>5</v>
      </c>
      <c r="H87" s="212">
        <f t="shared" si="14"/>
        <v>48.637739667624054</v>
      </c>
      <c r="I87" s="212">
        <f t="shared" si="17"/>
        <v>0.9</v>
      </c>
      <c r="J87" s="212">
        <f>1</f>
        <v>1</v>
      </c>
      <c r="K87" s="212">
        <f t="shared" si="18"/>
        <v>4.1870000000000003</v>
      </c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  <c r="AA87" s="212"/>
      <c r="AB87" s="212"/>
      <c r="AC87" s="196"/>
      <c r="AD87" s="27"/>
      <c r="AE87" s="213"/>
      <c r="AF87" s="212">
        <f t="shared" si="19"/>
        <v>-3.0558543618909528E-2</v>
      </c>
      <c r="AG87" s="212"/>
      <c r="AH87" s="212"/>
      <c r="AI87" s="212"/>
      <c r="AJ87" s="212"/>
      <c r="AK87" s="212"/>
      <c r="AL87" s="212"/>
      <c r="AM87" s="212"/>
      <c r="AN87" s="212"/>
      <c r="AO87" s="212"/>
      <c r="AP87" s="196"/>
      <c r="AQ87" s="196"/>
      <c r="AR87" s="211"/>
      <c r="AS87" s="212">
        <f t="shared" si="11"/>
        <v>-4.20926110113939E-3</v>
      </c>
      <c r="AT87" s="212">
        <f>[1]!LIM(AT86+Mode*r0*((1+IntegrationStep/2/Ti+Td/IntegrationStep)*AS87-(1-IntegrationStep/2/Ti+2*Td/IntegrationStep)*AS86+Td/IntegrationStep*AS85))</f>
        <v>0.40531449723020047</v>
      </c>
      <c r="AU87" s="212">
        <f t="shared" si="12"/>
        <v>40.794124671602574</v>
      </c>
      <c r="AW87" s="58"/>
      <c r="AX87" s="58"/>
      <c r="AY87" s="58"/>
      <c r="AZ87" s="58"/>
    </row>
    <row r="88" spans="1:52" s="185" customFormat="1" ht="15" customHeight="1" x14ac:dyDescent="0.25">
      <c r="A88" s="200"/>
      <c r="B88" s="211"/>
      <c r="C88" s="212">
        <f t="shared" si="13"/>
        <v>7.6999999999999886</v>
      </c>
      <c r="D88" s="231">
        <f>15+[1]!STEPLOAD(5)</f>
        <v>20</v>
      </c>
      <c r="E88" s="212">
        <f t="shared" si="15"/>
        <v>41.211994927354624</v>
      </c>
      <c r="F88" s="212">
        <f t="shared" si="16"/>
        <v>0.5</v>
      </c>
      <c r="G88" s="212">
        <f>5</f>
        <v>5</v>
      </c>
      <c r="H88" s="212">
        <f t="shared" si="14"/>
        <v>48.504015863818218</v>
      </c>
      <c r="I88" s="212">
        <f t="shared" si="17"/>
        <v>0.9</v>
      </c>
      <c r="J88" s="212">
        <f>1</f>
        <v>1</v>
      </c>
      <c r="K88" s="212">
        <f t="shared" si="18"/>
        <v>4.1870000000000003</v>
      </c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  <c r="AA88" s="212"/>
      <c r="AB88" s="212"/>
      <c r="AC88" s="196"/>
      <c r="AD88" s="27"/>
      <c r="AE88" s="213"/>
      <c r="AF88" s="212">
        <f t="shared" si="19"/>
        <v>-3.6001772294268708E-2</v>
      </c>
      <c r="AG88" s="212"/>
      <c r="AH88" s="212"/>
      <c r="AI88" s="212"/>
      <c r="AJ88" s="212"/>
      <c r="AK88" s="212"/>
      <c r="AL88" s="212"/>
      <c r="AM88" s="212"/>
      <c r="AN88" s="212"/>
      <c r="AO88" s="212"/>
      <c r="AP88" s="196"/>
      <c r="AQ88" s="196"/>
      <c r="AR88" s="211"/>
      <c r="AS88" s="212">
        <f t="shared" si="11"/>
        <v>-4.1787025575204953E-3</v>
      </c>
      <c r="AT88" s="212">
        <f>[1]!LIM(AT87+Mode*r0*((1+IntegrationStep/2/Ti+Td/IntegrationStep)*AS88-(1-IntegrationStep/2/Ti+2*Td/IntegrationStep)*AS87+Td/IntegrationStep*AS86))</f>
        <v>0.40420013219848516</v>
      </c>
      <c r="AU88" s="212">
        <f t="shared" si="12"/>
        <v>40.794124671602574</v>
      </c>
      <c r="AW88" s="58"/>
      <c r="AX88" s="58"/>
      <c r="AY88" s="58"/>
      <c r="AZ88" s="58"/>
    </row>
    <row r="89" spans="1:52" s="185" customFormat="1" ht="15" customHeight="1" x14ac:dyDescent="0.25">
      <c r="A89" s="200"/>
      <c r="B89" s="211"/>
      <c r="C89" s="212">
        <f t="shared" si="13"/>
        <v>7.7999999999999883</v>
      </c>
      <c r="D89" s="231">
        <f>15+[1]!STEPLOAD(5)</f>
        <v>20</v>
      </c>
      <c r="E89" s="212">
        <f t="shared" si="15"/>
        <v>41.208394750125194</v>
      </c>
      <c r="F89" s="212">
        <f t="shared" si="16"/>
        <v>0.5</v>
      </c>
      <c r="G89" s="212">
        <f>5</f>
        <v>5</v>
      </c>
      <c r="H89" s="212">
        <f t="shared" si="14"/>
        <v>48.381587478736158</v>
      </c>
      <c r="I89" s="212">
        <f t="shared" si="17"/>
        <v>0.9</v>
      </c>
      <c r="J89" s="212">
        <f>1</f>
        <v>1</v>
      </c>
      <c r="K89" s="212">
        <f t="shared" si="18"/>
        <v>4.1870000000000003</v>
      </c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  <c r="AA89" s="212"/>
      <c r="AB89" s="212"/>
      <c r="AC89" s="196"/>
      <c r="AD89" s="27"/>
      <c r="AE89" s="213"/>
      <c r="AF89" s="212">
        <f t="shared" si="19"/>
        <v>-4.0904976284908301E-2</v>
      </c>
      <c r="AG89" s="212"/>
      <c r="AH89" s="212"/>
      <c r="AI89" s="212"/>
      <c r="AJ89" s="212"/>
      <c r="AK89" s="212"/>
      <c r="AL89" s="212"/>
      <c r="AM89" s="212"/>
      <c r="AN89" s="212"/>
      <c r="AO89" s="212"/>
      <c r="AP89" s="196"/>
      <c r="AQ89" s="196"/>
      <c r="AR89" s="211"/>
      <c r="AS89" s="212">
        <f t="shared" si="11"/>
        <v>-4.1427007852261966E-3</v>
      </c>
      <c r="AT89" s="212">
        <f>[1]!LIM(AT88+Mode*r0*((1+IntegrationStep/2/Ti+Td/IntegrationStep)*AS89-(1-IntegrationStep/2/Ti+2*Td/IntegrationStep)*AS88+Td/IntegrationStep*AS87))</f>
        <v>0.40317989565613466</v>
      </c>
      <c r="AU89" s="212">
        <f t="shared" si="12"/>
        <v>40.794124671602574</v>
      </c>
      <c r="AW89" s="58"/>
      <c r="AX89" s="58"/>
      <c r="AY89" s="58"/>
      <c r="AZ89" s="58"/>
    </row>
    <row r="90" spans="1:52" s="185" customFormat="1" ht="15" customHeight="1" x14ac:dyDescent="0.25">
      <c r="A90" s="200"/>
      <c r="B90" s="211"/>
      <c r="C90" s="212">
        <f t="shared" si="13"/>
        <v>7.8999999999999879</v>
      </c>
      <c r="D90" s="231">
        <f>15+[1]!STEPLOAD(5)</f>
        <v>20</v>
      </c>
      <c r="E90" s="212">
        <f t="shared" si="15"/>
        <v>41.204304252496705</v>
      </c>
      <c r="F90" s="212">
        <f t="shared" si="16"/>
        <v>0.5</v>
      </c>
      <c r="G90" s="212">
        <f>5</f>
        <v>5</v>
      </c>
      <c r="H90" s="212">
        <f t="shared" si="14"/>
        <v>48.269715262680194</v>
      </c>
      <c r="I90" s="212">
        <f t="shared" si="17"/>
        <v>0.9</v>
      </c>
      <c r="J90" s="212">
        <f>1</f>
        <v>1</v>
      </c>
      <c r="K90" s="212">
        <f t="shared" si="18"/>
        <v>4.1870000000000003</v>
      </c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  <c r="AA90" s="212"/>
      <c r="AB90" s="212"/>
      <c r="AC90" s="196"/>
      <c r="AD90" s="27"/>
      <c r="AE90" s="213"/>
      <c r="AF90" s="212">
        <f t="shared" si="19"/>
        <v>-4.5305336335785817E-2</v>
      </c>
      <c r="AG90" s="212"/>
      <c r="AH90" s="212"/>
      <c r="AI90" s="212"/>
      <c r="AJ90" s="212"/>
      <c r="AK90" s="212"/>
      <c r="AL90" s="212"/>
      <c r="AM90" s="212"/>
      <c r="AN90" s="212"/>
      <c r="AO90" s="212"/>
      <c r="AP90" s="196"/>
      <c r="AQ90" s="196"/>
      <c r="AR90" s="211"/>
      <c r="AS90" s="212">
        <f t="shared" si="11"/>
        <v>-4.1017958089413047E-3</v>
      </c>
      <c r="AT90" s="212">
        <f>[1]!LIM(AT89+Mode*r0*((1+IntegrationStep/2/Ti+Td/IntegrationStep)*AS90-(1-IntegrationStep/2/Ti+2*Td/IntegrationStep)*AS89+Td/IntegrationStep*AS88))</f>
        <v>0.40224762718900164</v>
      </c>
      <c r="AU90" s="212">
        <f t="shared" si="12"/>
        <v>40.794124671602574</v>
      </c>
      <c r="AW90" s="58"/>
      <c r="AX90" s="58"/>
      <c r="AY90" s="58"/>
      <c r="AZ90" s="58"/>
    </row>
    <row r="91" spans="1:52" s="185" customFormat="1" ht="15" customHeight="1" x14ac:dyDescent="0.25">
      <c r="A91" s="200"/>
      <c r="B91" s="211"/>
      <c r="C91" s="212">
        <f t="shared" si="13"/>
        <v>7.9999999999999876</v>
      </c>
      <c r="D91" s="231">
        <f>15+[1]!STEPLOAD(5)</f>
        <v>20</v>
      </c>
      <c r="E91" s="212">
        <f t="shared" si="15"/>
        <v>41.199773718863128</v>
      </c>
      <c r="F91" s="212">
        <f t="shared" si="16"/>
        <v>0.5</v>
      </c>
      <c r="G91" s="212">
        <f>5</f>
        <v>5</v>
      </c>
      <c r="H91" s="212">
        <f t="shared" si="14"/>
        <v>48.167703426749789</v>
      </c>
      <c r="I91" s="212">
        <f t="shared" si="17"/>
        <v>0.9</v>
      </c>
      <c r="J91" s="212">
        <f>1</f>
        <v>1</v>
      </c>
      <c r="K91" s="212">
        <f t="shared" si="18"/>
        <v>4.1870000000000003</v>
      </c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  <c r="AA91" s="212"/>
      <c r="AB91" s="212"/>
      <c r="AC91" s="196"/>
      <c r="AD91" s="27"/>
      <c r="AE91" s="213"/>
      <c r="AF91" s="212">
        <f t="shared" si="19"/>
        <v>-4.9237792995707963E-2</v>
      </c>
      <c r="AG91" s="212"/>
      <c r="AH91" s="212"/>
      <c r="AI91" s="212"/>
      <c r="AJ91" s="212"/>
      <c r="AK91" s="212"/>
      <c r="AL91" s="212"/>
      <c r="AM91" s="212"/>
      <c r="AN91" s="212"/>
      <c r="AO91" s="212"/>
      <c r="AP91" s="196"/>
      <c r="AQ91" s="196"/>
      <c r="AR91" s="211"/>
      <c r="AS91" s="212">
        <f t="shared" si="11"/>
        <v>-4.0564904726055314E-3</v>
      </c>
      <c r="AT91" s="212">
        <f>[1]!LIM(AT90+Mode*r0*((1+IntegrationStep/2/Ti+Td/IntegrationStep)*AS91-(1-IntegrationStep/2/Ti+2*Td/IntegrationStep)*AS90+Td/IntegrationStep*AS89))</f>
        <v>0.40139752855624822</v>
      </c>
      <c r="AU91" s="212">
        <f t="shared" si="12"/>
        <v>40.794124671602574</v>
      </c>
      <c r="AW91" s="58"/>
      <c r="AX91" s="58"/>
      <c r="AY91" s="58"/>
      <c r="AZ91" s="58"/>
    </row>
    <row r="92" spans="1:52" s="185" customFormat="1" ht="15" customHeight="1" x14ac:dyDescent="0.25">
      <c r="A92" s="200"/>
      <c r="B92" s="211"/>
      <c r="C92" s="212">
        <f t="shared" si="13"/>
        <v>8.0999999999999872</v>
      </c>
      <c r="D92" s="231">
        <f>15+[1]!STEPLOAD(5)</f>
        <v>20</v>
      </c>
      <c r="E92" s="212">
        <f t="shared" si="15"/>
        <v>41.194849939563554</v>
      </c>
      <c r="F92" s="212">
        <f t="shared" si="16"/>
        <v>0.5</v>
      </c>
      <c r="G92" s="212">
        <f>5</f>
        <v>5</v>
      </c>
      <c r="H92" s="212">
        <f t="shared" si="14"/>
        <v>48.074897233217278</v>
      </c>
      <c r="I92" s="212">
        <f t="shared" si="17"/>
        <v>0.9</v>
      </c>
      <c r="J92" s="212">
        <f>1</f>
        <v>1</v>
      </c>
      <c r="K92" s="212">
        <f t="shared" si="18"/>
        <v>4.1870000000000003</v>
      </c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  <c r="AA92" s="212"/>
      <c r="AB92" s="212"/>
      <c r="AC92" s="196"/>
      <c r="AD92" s="27"/>
      <c r="AE92" s="213"/>
      <c r="AF92" s="212">
        <f t="shared" si="19"/>
        <v>-5.2735172609541525E-2</v>
      </c>
      <c r="AG92" s="212"/>
      <c r="AH92" s="212"/>
      <c r="AI92" s="212"/>
      <c r="AJ92" s="212"/>
      <c r="AK92" s="212"/>
      <c r="AL92" s="212"/>
      <c r="AM92" s="212"/>
      <c r="AN92" s="212"/>
      <c r="AO92" s="212"/>
      <c r="AP92" s="196"/>
      <c r="AQ92" s="196"/>
      <c r="AR92" s="211"/>
      <c r="AS92" s="212">
        <f t="shared" si="11"/>
        <v>-4.0072526796097914E-3</v>
      </c>
      <c r="AT92" s="212">
        <f>[1]!LIM(AT91+Mode*r0*((1+IntegrationStep/2/Ti+Td/IntegrationStep)*AS92-(1-IntegrationStep/2/Ti+2*Td/IntegrationStep)*AS91+Td/IntegrationStep*AS90))</f>
        <v>0.40062414361014398</v>
      </c>
      <c r="AU92" s="212">
        <f t="shared" si="12"/>
        <v>40.794124671602574</v>
      </c>
      <c r="AW92" s="58"/>
      <c r="AX92" s="58"/>
      <c r="AY92" s="58"/>
      <c r="AZ92" s="58"/>
    </row>
    <row r="93" spans="1:52" s="185" customFormat="1" ht="15" customHeight="1" x14ac:dyDescent="0.25">
      <c r="A93" s="200"/>
      <c r="B93" s="211"/>
      <c r="C93" s="212">
        <f t="shared" si="13"/>
        <v>8.1999999999999869</v>
      </c>
      <c r="D93" s="231">
        <f>15+[1]!STEPLOAD(5)</f>
        <v>20</v>
      </c>
      <c r="E93" s="212">
        <f t="shared" si="15"/>
        <v>41.189576422302601</v>
      </c>
      <c r="F93" s="212">
        <f t="shared" si="16"/>
        <v>0.5</v>
      </c>
      <c r="G93" s="212">
        <f>5</f>
        <v>5</v>
      </c>
      <c r="H93" s="212">
        <f t="shared" si="14"/>
        <v>47.990680714715708</v>
      </c>
      <c r="I93" s="212">
        <f t="shared" si="17"/>
        <v>0.9</v>
      </c>
      <c r="J93" s="212">
        <f>1</f>
        <v>1</v>
      </c>
      <c r="K93" s="212">
        <f t="shared" si="18"/>
        <v>4.1870000000000003</v>
      </c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  <c r="AA93" s="212"/>
      <c r="AB93" s="212"/>
      <c r="AC93" s="196"/>
      <c r="AD93" s="27"/>
      <c r="AE93" s="213"/>
      <c r="AF93" s="212">
        <f t="shared" si="19"/>
        <v>-5.5828306512842207E-2</v>
      </c>
      <c r="AG93" s="212"/>
      <c r="AH93" s="212"/>
      <c r="AI93" s="212"/>
      <c r="AJ93" s="212"/>
      <c r="AK93" s="212"/>
      <c r="AL93" s="212"/>
      <c r="AM93" s="212"/>
      <c r="AN93" s="212"/>
      <c r="AO93" s="212"/>
      <c r="AP93" s="196"/>
      <c r="AQ93" s="196"/>
      <c r="AR93" s="211"/>
      <c r="AS93" s="212">
        <f t="shared" si="11"/>
        <v>-3.9545175070002615E-3</v>
      </c>
      <c r="AT93" s="212">
        <f>[1]!LIM(AT92+Mode*r0*((1+IntegrationStep/2/Ti+Td/IntegrationStep)*AS93-(1-IntegrationStep/2/Ti+2*Td/IntegrationStep)*AS92+Td/IntegrationStep*AS91))</f>
        <v>0.39992233928929755</v>
      </c>
      <c r="AU93" s="212">
        <f t="shared" si="12"/>
        <v>40.794124671602574</v>
      </c>
      <c r="AW93" s="58"/>
      <c r="AX93" s="58"/>
      <c r="AY93" s="58"/>
      <c r="AZ93" s="58"/>
    </row>
    <row r="94" spans="1:52" s="185" customFormat="1" ht="15" customHeight="1" x14ac:dyDescent="0.25">
      <c r="A94" s="200"/>
      <c r="B94" s="211"/>
      <c r="C94" s="212">
        <f t="shared" si="13"/>
        <v>8.2999999999999865</v>
      </c>
      <c r="D94" s="231">
        <f>15+[1]!STEPLOAD(5)</f>
        <v>20</v>
      </c>
      <c r="E94" s="212">
        <f t="shared" si="15"/>
        <v>41.183993591651316</v>
      </c>
      <c r="F94" s="212">
        <f t="shared" si="16"/>
        <v>0.5</v>
      </c>
      <c r="G94" s="212">
        <f>5</f>
        <v>5</v>
      </c>
      <c r="H94" s="212">
        <f t="shared" si="14"/>
        <v>47.914474515520361</v>
      </c>
      <c r="I94" s="212">
        <f t="shared" si="17"/>
        <v>0.9</v>
      </c>
      <c r="J94" s="212">
        <f>1</f>
        <v>1</v>
      </c>
      <c r="K94" s="212">
        <f t="shared" si="18"/>
        <v>4.1870000000000003</v>
      </c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  <c r="AA94" s="212"/>
      <c r="AB94" s="212"/>
      <c r="AC94" s="196"/>
      <c r="AD94" s="27"/>
      <c r="AE94" s="213"/>
      <c r="AF94" s="212">
        <f t="shared" si="19"/>
        <v>-5.8546143785703553E-2</v>
      </c>
      <c r="AG94" s="212"/>
      <c r="AH94" s="212"/>
      <c r="AI94" s="212"/>
      <c r="AJ94" s="212"/>
      <c r="AK94" s="212"/>
      <c r="AL94" s="212"/>
      <c r="AM94" s="212"/>
      <c r="AN94" s="212"/>
      <c r="AO94" s="212"/>
      <c r="AP94" s="196"/>
      <c r="AQ94" s="196"/>
      <c r="AR94" s="211"/>
      <c r="AS94" s="212">
        <f t="shared" si="11"/>
        <v>-3.8986892004874108E-3</v>
      </c>
      <c r="AT94" s="212">
        <f>[1]!LIM(AT93+Mode*r0*((1+IntegrationStep/2/Ti+Td/IntegrationStep)*AS94-(1-IntegrationStep/2/Ti+2*Td/IntegrationStep)*AS93+Td/IntegrationStep*AS92))</f>
        <v>0.39928728762933635</v>
      </c>
      <c r="AU94" s="212">
        <f t="shared" si="12"/>
        <v>40.794124671602574</v>
      </c>
      <c r="AW94" s="58"/>
      <c r="AX94" s="58"/>
      <c r="AY94" s="58"/>
      <c r="AZ94" s="58"/>
    </row>
    <row r="95" spans="1:52" s="185" customFormat="1" ht="15" customHeight="1" x14ac:dyDescent="0.25">
      <c r="A95" s="200"/>
      <c r="B95" s="211"/>
      <c r="C95" s="212">
        <f t="shared" si="13"/>
        <v>8.3999999999999861</v>
      </c>
      <c r="D95" s="231">
        <f>15+[1]!STEPLOAD(5)</f>
        <v>20</v>
      </c>
      <c r="E95" s="212">
        <f t="shared" si="15"/>
        <v>41.178138977272745</v>
      </c>
      <c r="F95" s="212">
        <f t="shared" si="16"/>
        <v>0.5</v>
      </c>
      <c r="G95" s="212">
        <f>5</f>
        <v>5</v>
      </c>
      <c r="H95" s="212">
        <f t="shared" si="14"/>
        <v>47.845733848547873</v>
      </c>
      <c r="I95" s="212">
        <f t="shared" si="17"/>
        <v>0.9</v>
      </c>
      <c r="J95" s="212">
        <f>1</f>
        <v>1</v>
      </c>
      <c r="K95" s="212">
        <f t="shared" si="18"/>
        <v>4.1870000000000003</v>
      </c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  <c r="AA95" s="212"/>
      <c r="AB95" s="212"/>
      <c r="AC95" s="196"/>
      <c r="AD95" s="27"/>
      <c r="AE95" s="213"/>
      <c r="AF95" s="212">
        <f t="shared" si="19"/>
        <v>-6.091585790434273E-2</v>
      </c>
      <c r="AG95" s="212"/>
      <c r="AH95" s="212"/>
      <c r="AI95" s="212"/>
      <c r="AJ95" s="212"/>
      <c r="AK95" s="212"/>
      <c r="AL95" s="212"/>
      <c r="AM95" s="212"/>
      <c r="AN95" s="212"/>
      <c r="AO95" s="212"/>
      <c r="AP95" s="196"/>
      <c r="AQ95" s="196"/>
      <c r="AR95" s="211"/>
      <c r="AS95" s="212">
        <f t="shared" si="11"/>
        <v>-3.8401430567017057E-3</v>
      </c>
      <c r="AT95" s="212">
        <f>[1]!LIM(AT94+Mode*r0*((1+IntegrationStep/2/Ti+Td/IntegrationStep)*AS95-(1-IntegrationStep/2/Ti+2*Td/IntegrationStep)*AS94+Td/IntegrationStep*AS93))</f>
        <v>0.39871444873789896</v>
      </c>
      <c r="AU95" s="212">
        <f t="shared" si="12"/>
        <v>40.794124671602574</v>
      </c>
      <c r="AW95" s="58"/>
      <c r="AX95" s="58"/>
      <c r="AY95" s="58"/>
      <c r="AZ95" s="58"/>
    </row>
    <row r="96" spans="1:52" s="185" customFormat="1" ht="15" customHeight="1" x14ac:dyDescent="0.25">
      <c r="A96" s="200"/>
      <c r="B96" s="211"/>
      <c r="C96" s="212">
        <f t="shared" si="13"/>
        <v>8.4999999999999858</v>
      </c>
      <c r="D96" s="231">
        <f>15+[1]!STEPLOAD(5)</f>
        <v>20</v>
      </c>
      <c r="E96" s="212">
        <f t="shared" si="15"/>
        <v>41.172047391482309</v>
      </c>
      <c r="F96" s="212">
        <f t="shared" si="16"/>
        <v>0.5</v>
      </c>
      <c r="G96" s="212">
        <f>5</f>
        <v>5</v>
      </c>
      <c r="H96" s="212">
        <f t="shared" si="14"/>
        <v>47.783946562026998</v>
      </c>
      <c r="I96" s="212">
        <f t="shared" si="17"/>
        <v>0.9</v>
      </c>
      <c r="J96" s="212">
        <f>1</f>
        <v>1</v>
      </c>
      <c r="K96" s="212">
        <f t="shared" si="18"/>
        <v>4.1870000000000003</v>
      </c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196"/>
      <c r="AD96" s="27"/>
      <c r="AE96" s="213"/>
      <c r="AF96" s="212">
        <f t="shared" si="19"/>
        <v>-6.2962947611364672E-2</v>
      </c>
      <c r="AG96" s="212"/>
      <c r="AH96" s="212"/>
      <c r="AI96" s="212"/>
      <c r="AJ96" s="212"/>
      <c r="AK96" s="212"/>
      <c r="AL96" s="212"/>
      <c r="AM96" s="212"/>
      <c r="AN96" s="212"/>
      <c r="AO96" s="212"/>
      <c r="AP96" s="196"/>
      <c r="AQ96" s="196"/>
      <c r="AR96" s="211"/>
      <c r="AS96" s="212">
        <f t="shared" si="11"/>
        <v>-3.7792271987973436E-3</v>
      </c>
      <c r="AT96" s="212">
        <f>[1]!LIM(AT95+Mode*r0*((1+IntegrationStep/2/Ti+Td/IntegrationStep)*AS96-(1-IntegrationStep/2/Ti+2*Td/IntegrationStep)*AS95+Td/IntegrationStep*AS94))</f>
        <v>0.39819955468355833</v>
      </c>
      <c r="AU96" s="212">
        <f t="shared" si="12"/>
        <v>40.794124671602574</v>
      </c>
      <c r="AW96" s="58"/>
      <c r="AX96" s="58"/>
      <c r="AY96" s="58"/>
      <c r="AZ96" s="58"/>
    </row>
    <row r="97" spans="1:52" s="185" customFormat="1" ht="15" customHeight="1" x14ac:dyDescent="0.25">
      <c r="A97" s="200"/>
      <c r="B97" s="211"/>
      <c r="C97" s="212">
        <f t="shared" si="13"/>
        <v>8.5999999999999854</v>
      </c>
      <c r="D97" s="231">
        <f>15+[1]!STEPLOAD(5)</f>
        <v>20</v>
      </c>
      <c r="E97" s="212">
        <f t="shared" si="15"/>
        <v>41.165751096721173</v>
      </c>
      <c r="F97" s="212">
        <f t="shared" si="16"/>
        <v>0.5</v>
      </c>
      <c r="G97" s="212">
        <f>5</f>
        <v>5</v>
      </c>
      <c r="H97" s="212">
        <f t="shared" si="14"/>
        <v>47.728631310102813</v>
      </c>
      <c r="I97" s="212">
        <f t="shared" si="17"/>
        <v>0.9</v>
      </c>
      <c r="J97" s="212">
        <f>1</f>
        <v>1</v>
      </c>
      <c r="K97" s="212">
        <f t="shared" si="18"/>
        <v>4.1870000000000003</v>
      </c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  <c r="AA97" s="212"/>
      <c r="AB97" s="212"/>
      <c r="AC97" s="196"/>
      <c r="AD97" s="27"/>
      <c r="AE97" s="213"/>
      <c r="AF97" s="212">
        <f t="shared" si="19"/>
        <v>-6.4711332309207226E-2</v>
      </c>
      <c r="AG97" s="212"/>
      <c r="AH97" s="212"/>
      <c r="AI97" s="212"/>
      <c r="AJ97" s="212"/>
      <c r="AK97" s="212"/>
      <c r="AL97" s="212"/>
      <c r="AM97" s="212"/>
      <c r="AN97" s="212"/>
      <c r="AO97" s="212"/>
      <c r="AP97" s="196"/>
      <c r="AQ97" s="196"/>
      <c r="AR97" s="211"/>
      <c r="AS97" s="212">
        <f t="shared" si="11"/>
        <v>-3.7162642511859899E-3</v>
      </c>
      <c r="AT97" s="212">
        <f>[1]!LIM(AT96+Mode*r0*((1+IntegrationStep/2/Ti+Td/IntegrationStep)*AS97-(1-IntegrationStep/2/Ti+2*Td/IntegrationStep)*AS96+Td/IntegrationStep*AS95))</f>
        <v>0.39773859425085678</v>
      </c>
      <c r="AU97" s="212">
        <f t="shared" si="12"/>
        <v>40.794124671602574</v>
      </c>
      <c r="AW97" s="58"/>
      <c r="AX97" s="58"/>
      <c r="AY97" s="58"/>
      <c r="AZ97" s="58"/>
    </row>
    <row r="98" spans="1:52" s="185" customFormat="1" ht="15" customHeight="1" x14ac:dyDescent="0.25">
      <c r="A98" s="200"/>
      <c r="B98" s="211"/>
      <c r="C98" s="212">
        <f t="shared" si="13"/>
        <v>8.6999999999999851</v>
      </c>
      <c r="D98" s="231">
        <f>15+[1]!STEPLOAD(5)</f>
        <v>20</v>
      </c>
      <c r="E98" s="212">
        <f t="shared" si="15"/>
        <v>41.159279963490256</v>
      </c>
      <c r="F98" s="212">
        <f t="shared" si="16"/>
        <v>0.5</v>
      </c>
      <c r="G98" s="212">
        <f>5</f>
        <v>5</v>
      </c>
      <c r="H98" s="212">
        <f t="shared" si="14"/>
        <v>47.679335821932916</v>
      </c>
      <c r="I98" s="212">
        <f t="shared" si="17"/>
        <v>0.9</v>
      </c>
      <c r="J98" s="212">
        <f>1</f>
        <v>1</v>
      </c>
      <c r="K98" s="212">
        <f t="shared" si="18"/>
        <v>4.1870000000000003</v>
      </c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  <c r="AA98" s="212"/>
      <c r="AB98" s="212"/>
      <c r="AC98" s="196"/>
      <c r="AD98" s="27"/>
      <c r="AE98" s="213"/>
      <c r="AF98" s="212">
        <f t="shared" si="19"/>
        <v>-6.6183442265451475E-2</v>
      </c>
      <c r="AG98" s="212"/>
      <c r="AH98" s="212"/>
      <c r="AI98" s="212"/>
      <c r="AJ98" s="212"/>
      <c r="AK98" s="212"/>
      <c r="AL98" s="212"/>
      <c r="AM98" s="212"/>
      <c r="AN98" s="212"/>
      <c r="AO98" s="212"/>
      <c r="AP98" s="196"/>
      <c r="AQ98" s="196"/>
      <c r="AR98" s="211"/>
      <c r="AS98" s="212">
        <f t="shared" si="11"/>
        <v>-3.6515529188768168E-3</v>
      </c>
      <c r="AT98" s="212">
        <f>[1]!LIM(AT97+Mode*r0*((1+IntegrationStep/2/Ti+Td/IntegrationStep)*AS98-(1-IntegrationStep/2/Ti+2*Td/IntegrationStep)*AS97+Td/IntegrationStep*AS96))</f>
        <v>0.39732779851610761</v>
      </c>
      <c r="AU98" s="212">
        <f t="shared" si="12"/>
        <v>40.794124671602574</v>
      </c>
      <c r="AW98" s="58"/>
      <c r="AX98" s="58"/>
      <c r="AY98" s="58"/>
      <c r="AZ98" s="58"/>
    </row>
    <row r="99" spans="1:52" s="185" customFormat="1" ht="15" customHeight="1" x14ac:dyDescent="0.25">
      <c r="A99" s="200"/>
      <c r="B99" s="211"/>
      <c r="C99" s="212">
        <f t="shared" si="13"/>
        <v>8.7999999999999847</v>
      </c>
      <c r="D99" s="231">
        <f>15+[1]!STEPLOAD(5)</f>
        <v>20</v>
      </c>
      <c r="E99" s="212">
        <f t="shared" si="15"/>
        <v>41.152661619263711</v>
      </c>
      <c r="F99" s="212">
        <f t="shared" si="16"/>
        <v>0.5</v>
      </c>
      <c r="G99" s="212">
        <f>5</f>
        <v>5</v>
      </c>
      <c r="H99" s="212">
        <f t="shared" si="14"/>
        <v>47.635635264112253</v>
      </c>
      <c r="I99" s="212">
        <f t="shared" si="17"/>
        <v>0.9</v>
      </c>
      <c r="J99" s="212">
        <f>1</f>
        <v>1</v>
      </c>
      <c r="K99" s="212">
        <f t="shared" si="18"/>
        <v>4.1870000000000003</v>
      </c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  <c r="AA99" s="212"/>
      <c r="AB99" s="212"/>
      <c r="AC99" s="196"/>
      <c r="AD99" s="27"/>
      <c r="AE99" s="213"/>
      <c r="AF99" s="212">
        <f t="shared" si="19"/>
        <v>-6.7400303903871528E-2</v>
      </c>
      <c r="AG99" s="212"/>
      <c r="AH99" s="212"/>
      <c r="AI99" s="212"/>
      <c r="AJ99" s="212"/>
      <c r="AK99" s="212"/>
      <c r="AL99" s="212"/>
      <c r="AM99" s="212"/>
      <c r="AN99" s="212"/>
      <c r="AO99" s="212"/>
      <c r="AP99" s="196"/>
      <c r="AQ99" s="196"/>
      <c r="AR99" s="211"/>
      <c r="AS99" s="212">
        <f t="shared" si="11"/>
        <v>-3.5853694766113621E-3</v>
      </c>
      <c r="AT99" s="212">
        <f>[1]!LIM(AT98+Mode*r0*((1+IntegrationStep/2/Ti+Td/IntegrationStep)*AS99-(1-IntegrationStep/2/Ti+2*Td/IntegrationStep)*AS98+Td/IntegrationStep*AS97))</f>
        <v>0.39696362720093542</v>
      </c>
      <c r="AU99" s="212">
        <f t="shared" si="12"/>
        <v>40.794124671602574</v>
      </c>
      <c r="AW99" s="58"/>
      <c r="AX99" s="58"/>
      <c r="AY99" s="58"/>
      <c r="AZ99" s="58"/>
    </row>
    <row r="100" spans="1:52" s="185" customFormat="1" ht="15" customHeight="1" x14ac:dyDescent="0.25">
      <c r="A100" s="200"/>
      <c r="B100" s="211"/>
      <c r="C100" s="212">
        <f t="shared" si="13"/>
        <v>8.8999999999999844</v>
      </c>
      <c r="D100" s="231">
        <f>15+[1]!STEPLOAD(5)</f>
        <v>20</v>
      </c>
      <c r="E100" s="212">
        <f t="shared" si="15"/>
        <v>41.145921588873321</v>
      </c>
      <c r="F100" s="212">
        <f t="shared" si="16"/>
        <v>0.5</v>
      </c>
      <c r="G100" s="212">
        <f>5</f>
        <v>5</v>
      </c>
      <c r="H100" s="212">
        <f t="shared" si="14"/>
        <v>47.597130691529586</v>
      </c>
      <c r="I100" s="212">
        <f t="shared" si="17"/>
        <v>0.9</v>
      </c>
      <c r="J100" s="212">
        <f>1</f>
        <v>1</v>
      </c>
      <c r="K100" s="212">
        <f t="shared" si="18"/>
        <v>4.1870000000000003</v>
      </c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196"/>
      <c r="AD100" s="27"/>
      <c r="AE100" s="213"/>
      <c r="AF100" s="212">
        <f t="shared" si="19"/>
        <v>-6.8381620440872926E-2</v>
      </c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196"/>
      <c r="AQ100" s="196"/>
      <c r="AR100" s="211"/>
      <c r="AS100" s="212">
        <f t="shared" si="11"/>
        <v>-3.5179691727074669E-3</v>
      </c>
      <c r="AT100" s="212">
        <f>[1]!LIM(AT99+Mode*r0*((1+IntegrationStep/2/Ti+Td/IntegrationStep)*AS100-(1-IntegrationStep/2/Ti+2*Td/IntegrationStep)*AS99+Td/IntegrationStep*AS98))</f>
        <v>0.39664275576274655</v>
      </c>
      <c r="AU100" s="212">
        <f t="shared" si="12"/>
        <v>40.794124671602574</v>
      </c>
      <c r="AW100" s="58"/>
      <c r="AX100" s="58"/>
      <c r="AY100" s="58"/>
      <c r="AZ100" s="58"/>
    </row>
    <row r="101" spans="1:52" s="185" customFormat="1" ht="15" customHeight="1" x14ac:dyDescent="0.25">
      <c r="A101" s="200"/>
      <c r="B101" s="211"/>
      <c r="C101" s="212">
        <f t="shared" si="13"/>
        <v>8.999999999999984</v>
      </c>
      <c r="D101" s="231">
        <f>15+[1]!STEPLOAD(5)</f>
        <v>20</v>
      </c>
      <c r="E101" s="212">
        <f t="shared" si="15"/>
        <v>41.139083426829231</v>
      </c>
      <c r="F101" s="212">
        <f t="shared" si="16"/>
        <v>0.5</v>
      </c>
      <c r="G101" s="212">
        <f>5</f>
        <v>5</v>
      </c>
      <c r="H101" s="212">
        <f t="shared" si="14"/>
        <v>47.5634475820113</v>
      </c>
      <c r="I101" s="212">
        <f t="shared" si="17"/>
        <v>0.9</v>
      </c>
      <c r="J101" s="212">
        <f>1</f>
        <v>1</v>
      </c>
      <c r="K101" s="212">
        <f t="shared" si="18"/>
        <v>4.1870000000000003</v>
      </c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196"/>
      <c r="AD101" s="27"/>
      <c r="AE101" s="213"/>
      <c r="AF101" s="212">
        <f t="shared" si="19"/>
        <v>-6.9145848113533859E-2</v>
      </c>
      <c r="AG101" s="212"/>
      <c r="AH101" s="212"/>
      <c r="AI101" s="212"/>
      <c r="AJ101" s="212"/>
      <c r="AK101" s="212"/>
      <c r="AL101" s="212"/>
      <c r="AM101" s="212"/>
      <c r="AN101" s="212"/>
      <c r="AO101" s="212"/>
      <c r="AP101" s="196"/>
      <c r="AQ101" s="196"/>
      <c r="AR101" s="211"/>
      <c r="AS101" s="212">
        <f t="shared" si="11"/>
        <v>-3.4495875522665641E-3</v>
      </c>
      <c r="AT101" s="212">
        <f>[1]!LIM(AT100+Mode*r0*((1+IntegrationStep/2/Ti+Td/IntegrationStep)*AS101-(1-IntegrationStep/2/Ti+2*Td/IntegrationStep)*AS100+Td/IntegrationStep*AS99))</f>
        <v>0.39636206318342748</v>
      </c>
      <c r="AU101" s="212">
        <f t="shared" si="12"/>
        <v>40.794124671602574</v>
      </c>
      <c r="AW101" s="58"/>
      <c r="AX101" s="58"/>
      <c r="AY101" s="58"/>
      <c r="AZ101" s="58"/>
    </row>
    <row r="102" spans="1:52" s="185" customFormat="1" ht="15" customHeight="1" x14ac:dyDescent="0.25">
      <c r="A102" s="200"/>
      <c r="B102" s="211"/>
      <c r="C102" s="212">
        <f t="shared" si="13"/>
        <v>9.0999999999999837</v>
      </c>
      <c r="D102" s="231">
        <f>15+[1]!STEPLOAD(5)</f>
        <v>20</v>
      </c>
      <c r="E102" s="212">
        <f t="shared" si="15"/>
        <v>41.132168842017876</v>
      </c>
      <c r="F102" s="212">
        <f t="shared" si="16"/>
        <v>0.5</v>
      </c>
      <c r="G102" s="212">
        <f>5</f>
        <v>5</v>
      </c>
      <c r="H102" s="212">
        <f t="shared" si="14"/>
        <v>47.534234450346254</v>
      </c>
      <c r="I102" s="212">
        <f t="shared" si="17"/>
        <v>0.9</v>
      </c>
      <c r="J102" s="212">
        <f>1</f>
        <v>1</v>
      </c>
      <c r="K102" s="212">
        <f t="shared" si="18"/>
        <v>4.1870000000000003</v>
      </c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196"/>
      <c r="AD102" s="27"/>
      <c r="AE102" s="213"/>
      <c r="AF102" s="212">
        <f t="shared" si="19"/>
        <v>-6.9710268232758832E-2</v>
      </c>
      <c r="AG102" s="212"/>
      <c r="AH102" s="212"/>
      <c r="AI102" s="212"/>
      <c r="AJ102" s="212"/>
      <c r="AK102" s="212"/>
      <c r="AL102" s="212"/>
      <c r="AM102" s="212"/>
      <c r="AN102" s="212"/>
      <c r="AO102" s="212"/>
      <c r="AP102" s="196"/>
      <c r="AQ102" s="196"/>
      <c r="AR102" s="211"/>
      <c r="AS102" s="212">
        <f t="shared" si="11"/>
        <v>-3.3804417041530142E-3</v>
      </c>
      <c r="AT102" s="212">
        <f>[1]!LIM(AT101+Mode*r0*((1+IntegrationStep/2/Ti+Td/IntegrationStep)*AS102-(1-IntegrationStep/2/Ti+2*Td/IntegrationStep)*AS101+Td/IntegrationStep*AS100))</f>
        <v>0.39611862041955209</v>
      </c>
      <c r="AU102" s="212">
        <f t="shared" si="12"/>
        <v>40.794124671602574</v>
      </c>
      <c r="AW102" s="58"/>
      <c r="AX102" s="58"/>
      <c r="AY102" s="58"/>
      <c r="AZ102" s="58"/>
    </row>
    <row r="103" spans="1:52" s="185" customFormat="1" ht="15" customHeight="1" x14ac:dyDescent="0.25">
      <c r="A103" s="200"/>
      <c r="B103" s="211"/>
      <c r="C103" s="212">
        <f t="shared" si="13"/>
        <v>9.1999999999999833</v>
      </c>
      <c r="D103" s="231">
        <f>15+[1]!STEPLOAD(5)</f>
        <v>20</v>
      </c>
      <c r="E103" s="212">
        <f t="shared" si="15"/>
        <v>41.125197815194603</v>
      </c>
      <c r="F103" s="212">
        <f t="shared" si="16"/>
        <v>0.5</v>
      </c>
      <c r="G103" s="212">
        <f>5</f>
        <v>5</v>
      </c>
      <c r="H103" s="212">
        <f t="shared" si="14"/>
        <v>47.509161537513506</v>
      </c>
      <c r="I103" s="212">
        <f t="shared" si="17"/>
        <v>0.9</v>
      </c>
      <c r="J103" s="212">
        <f>1</f>
        <v>1</v>
      </c>
      <c r="K103" s="212">
        <f t="shared" si="18"/>
        <v>4.1870000000000003</v>
      </c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196"/>
      <c r="AD103" s="27"/>
      <c r="AE103" s="213"/>
      <c r="AF103" s="212">
        <f t="shared" si="19"/>
        <v>-7.0091055282911263E-2</v>
      </c>
      <c r="AG103" s="212"/>
      <c r="AH103" s="212"/>
      <c r="AI103" s="212"/>
      <c r="AJ103" s="212"/>
      <c r="AK103" s="212"/>
      <c r="AL103" s="212"/>
      <c r="AM103" s="212"/>
      <c r="AN103" s="212"/>
      <c r="AO103" s="212"/>
      <c r="AP103" s="196"/>
      <c r="AQ103" s="196"/>
      <c r="AR103" s="211"/>
      <c r="AS103" s="212">
        <f t="shared" si="11"/>
        <v>-3.3107314359202889E-3</v>
      </c>
      <c r="AT103" s="212">
        <f>[1]!LIM(AT102+Mode*r0*((1+IntegrationStep/2/Ti+Td/IntegrationStep)*AS103-(1-IntegrationStep/2/Ti+2*Td/IntegrationStep)*AS102+Td/IntegrationStep*AS101))</f>
        <v>0.39590967947927924</v>
      </c>
      <c r="AU103" s="212">
        <f t="shared" si="12"/>
        <v>40.794124671602574</v>
      </c>
      <c r="AW103" s="58"/>
      <c r="AX103" s="58"/>
      <c r="AY103" s="58"/>
      <c r="AZ103" s="58"/>
    </row>
    <row r="104" spans="1:52" s="185" customFormat="1" ht="15" customHeight="1" x14ac:dyDescent="0.25">
      <c r="A104" s="200"/>
      <c r="B104" s="211"/>
      <c r="C104" s="212">
        <f t="shared" si="13"/>
        <v>9.2999999999999829</v>
      </c>
      <c r="D104" s="231">
        <f>15+[1]!STEPLOAD(5)</f>
        <v>20</v>
      </c>
      <c r="E104" s="212">
        <f t="shared" si="15"/>
        <v>41.118188709666313</v>
      </c>
      <c r="F104" s="212">
        <f t="shared" si="16"/>
        <v>0.5</v>
      </c>
      <c r="G104" s="212">
        <f>5</f>
        <v>5</v>
      </c>
      <c r="H104" s="212">
        <f t="shared" si="14"/>
        <v>47.487919571150186</v>
      </c>
      <c r="I104" s="212">
        <f t="shared" si="17"/>
        <v>0.9</v>
      </c>
      <c r="J104" s="212">
        <f>1</f>
        <v>1</v>
      </c>
      <c r="K104" s="212">
        <f t="shared" si="18"/>
        <v>4.1870000000000003</v>
      </c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  <c r="AB104" s="212"/>
      <c r="AC104" s="196"/>
      <c r="AD104" s="27"/>
      <c r="AE104" s="213"/>
      <c r="AF104" s="212">
        <f t="shared" si="19"/>
        <v>-7.0303341277824671E-2</v>
      </c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196"/>
      <c r="AQ104" s="196"/>
      <c r="AR104" s="211"/>
      <c r="AS104" s="212">
        <f t="shared" si="11"/>
        <v>-3.2406403806373874E-3</v>
      </c>
      <c r="AT104" s="212">
        <f>[1]!LIM(AT103+Mode*r0*((1+IntegrationStep/2/Ti+Td/IntegrationStep)*AS104-(1-IntegrationStep/2/Ti+2*Td/IntegrationStep)*AS103+Td/IntegrationStep*AS102))</f>
        <v>0.39573266309291821</v>
      </c>
      <c r="AU104" s="212">
        <f t="shared" si="12"/>
        <v>40.794124671602574</v>
      </c>
      <c r="AW104" s="58"/>
      <c r="AX104" s="58"/>
      <c r="AY104" s="58"/>
      <c r="AZ104" s="58"/>
    </row>
    <row r="105" spans="1:52" s="185" customFormat="1" ht="15" customHeight="1" x14ac:dyDescent="0.25">
      <c r="A105" s="200"/>
      <c r="B105" s="211"/>
      <c r="C105" s="212">
        <f t="shared" si="13"/>
        <v>9.3999999999999826</v>
      </c>
      <c r="D105" s="231">
        <f>15+[1]!STEPLOAD(5)</f>
        <v>20</v>
      </c>
      <c r="E105" s="212">
        <f t="shared" si="15"/>
        <v>41.11115837553853</v>
      </c>
      <c r="F105" s="212">
        <f t="shared" si="16"/>
        <v>0.5</v>
      </c>
      <c r="G105" s="212">
        <f>5</f>
        <v>5</v>
      </c>
      <c r="H105" s="212">
        <f t="shared" si="14"/>
        <v>47.470218593500363</v>
      </c>
      <c r="I105" s="212">
        <f t="shared" si="17"/>
        <v>0.9</v>
      </c>
      <c r="J105" s="212">
        <f>1</f>
        <v>1</v>
      </c>
      <c r="K105" s="212">
        <f t="shared" si="18"/>
        <v>4.1870000000000003</v>
      </c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  <c r="AB105" s="212"/>
      <c r="AC105" s="196"/>
      <c r="AD105" s="27"/>
      <c r="AE105" s="213"/>
      <c r="AF105" s="212">
        <f t="shared" si="19"/>
        <v>-7.0361276572227904E-2</v>
      </c>
      <c r="AG105" s="212"/>
      <c r="AH105" s="212"/>
      <c r="AI105" s="212"/>
      <c r="AJ105" s="212"/>
      <c r="AK105" s="212"/>
      <c r="AL105" s="212"/>
      <c r="AM105" s="212"/>
      <c r="AN105" s="212"/>
      <c r="AO105" s="212"/>
      <c r="AP105" s="196"/>
      <c r="AQ105" s="196"/>
      <c r="AR105" s="211"/>
      <c r="AS105" s="212">
        <f t="shared" si="11"/>
        <v>-3.1703370393595521E-3</v>
      </c>
      <c r="AT105" s="212">
        <f>[1]!LIM(AT104+Mode*r0*((1+IntegrationStep/2/Ti+Td/IntegrationStep)*AS105-(1-IntegrationStep/2/Ti+2*Td/IntegrationStep)*AS104+Td/IntegrationStep*AS103))</f>
        <v>0.39558515494583635</v>
      </c>
      <c r="AU105" s="212">
        <f t="shared" si="12"/>
        <v>40.794124671602574</v>
      </c>
      <c r="AW105" s="58"/>
      <c r="AX105" s="58"/>
      <c r="AY105" s="58"/>
      <c r="AZ105" s="58"/>
    </row>
    <row r="106" spans="1:52" s="185" customFormat="1" ht="15" customHeight="1" x14ac:dyDescent="0.25">
      <c r="A106" s="200"/>
      <c r="B106" s="211"/>
      <c r="C106" s="212">
        <f t="shared" si="13"/>
        <v>9.4999999999999822</v>
      </c>
      <c r="D106" s="231">
        <f>15+[1]!STEPLOAD(5)</f>
        <v>20</v>
      </c>
      <c r="E106" s="212">
        <f t="shared" si="15"/>
        <v>41.104122247881307</v>
      </c>
      <c r="F106" s="212">
        <f t="shared" si="16"/>
        <v>0.5</v>
      </c>
      <c r="G106" s="212">
        <f>5</f>
        <v>5</v>
      </c>
      <c r="H106" s="212">
        <f t="shared" si="14"/>
        <v>47.455786853282063</v>
      </c>
      <c r="I106" s="212">
        <f t="shared" si="17"/>
        <v>0.9</v>
      </c>
      <c r="J106" s="212">
        <f>1</f>
        <v>1</v>
      </c>
      <c r="K106" s="212">
        <f t="shared" si="18"/>
        <v>4.1870000000000003</v>
      </c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  <c r="AB106" s="212"/>
      <c r="AC106" s="196"/>
      <c r="AD106" s="27"/>
      <c r="AE106" s="213"/>
      <c r="AF106" s="212">
        <f t="shared" si="19"/>
        <v>-7.0278087317203752E-2</v>
      </c>
      <c r="AG106" s="212"/>
      <c r="AH106" s="212"/>
      <c r="AI106" s="212"/>
      <c r="AJ106" s="212"/>
      <c r="AK106" s="212"/>
      <c r="AL106" s="212"/>
      <c r="AM106" s="212"/>
      <c r="AN106" s="212"/>
      <c r="AO106" s="212"/>
      <c r="AP106" s="196"/>
      <c r="AQ106" s="196"/>
      <c r="AR106" s="211"/>
      <c r="AS106" s="212">
        <f t="shared" si="11"/>
        <v>-3.0999757627873238E-3</v>
      </c>
      <c r="AT106" s="212">
        <f>[1]!LIM(AT105+Mode*r0*((1+IntegrationStep/2/Ti+Td/IntegrationStep)*AS106-(1-IntegrationStep/2/Ti+2*Td/IntegrationStep)*AS105+Td/IntegrationStep*AS104))</f>
        <v>0.39546489044401723</v>
      </c>
      <c r="AU106" s="212">
        <f t="shared" si="12"/>
        <v>40.794124671602574</v>
      </c>
      <c r="AW106" s="58"/>
      <c r="AX106" s="58"/>
      <c r="AY106" s="58"/>
      <c r="AZ106" s="58"/>
    </row>
    <row r="107" spans="1:52" s="185" customFormat="1" ht="15" customHeight="1" x14ac:dyDescent="0.25">
      <c r="A107" s="200"/>
      <c r="B107" s="211"/>
      <c r="C107" s="212">
        <f t="shared" si="13"/>
        <v>9.5999999999999819</v>
      </c>
      <c r="D107" s="231">
        <f>15+[1]!STEPLOAD(5)</f>
        <v>20</v>
      </c>
      <c r="E107" s="212">
        <f t="shared" si="15"/>
        <v>41.097094439149586</v>
      </c>
      <c r="F107" s="212">
        <f t="shared" si="16"/>
        <v>0.5</v>
      </c>
      <c r="G107" s="212">
        <f>5</f>
        <v>5</v>
      </c>
      <c r="H107" s="212">
        <f t="shared" si="14"/>
        <v>47.44436975809225</v>
      </c>
      <c r="I107" s="212">
        <f t="shared" si="17"/>
        <v>0.9</v>
      </c>
      <c r="J107" s="212">
        <f>1</f>
        <v>1</v>
      </c>
      <c r="K107" s="212">
        <f t="shared" si="18"/>
        <v>4.1870000000000003</v>
      </c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  <c r="AB107" s="212"/>
      <c r="AC107" s="196"/>
      <c r="AD107" s="27"/>
      <c r="AE107" s="213"/>
      <c r="AF107" s="212">
        <f t="shared" si="19"/>
        <v>-7.0066129738554306E-2</v>
      </c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196"/>
      <c r="AQ107" s="196"/>
      <c r="AR107" s="211"/>
      <c r="AS107" s="212">
        <f t="shared" si="11"/>
        <v>-3.0296976754701178E-3</v>
      </c>
      <c r="AT107" s="212">
        <f>[1]!LIM(AT106+Mode*r0*((1+IntegrationStep/2/Ti+Td/IntegrationStep)*AS107-(1-IntegrationStep/2/Ti+2*Td/IntegrationStep)*AS106+Td/IntegrationStep*AS105))</f>
        <v>0.39536974798410207</v>
      </c>
      <c r="AU107" s="212">
        <f t="shared" si="12"/>
        <v>40.794124671602574</v>
      </c>
      <c r="AW107" s="58"/>
      <c r="AX107" s="58"/>
      <c r="AY107" s="58"/>
      <c r="AZ107" s="58"/>
    </row>
    <row r="108" spans="1:52" s="185" customFormat="1" ht="15" customHeight="1" x14ac:dyDescent="0.25">
      <c r="A108" s="200"/>
      <c r="B108" s="211"/>
      <c r="C108" s="212">
        <f t="shared" si="13"/>
        <v>9.6999999999999815</v>
      </c>
      <c r="D108" s="231">
        <f>15+[1]!STEPLOAD(5)</f>
        <v>20</v>
      </c>
      <c r="E108" s="212">
        <f t="shared" si="15"/>
        <v>41.090087826175733</v>
      </c>
      <c r="F108" s="212">
        <f t="shared" si="16"/>
        <v>0.5</v>
      </c>
      <c r="G108" s="212">
        <f>5</f>
        <v>5</v>
      </c>
      <c r="H108" s="212">
        <f t="shared" si="14"/>
        <v>47.435728884144574</v>
      </c>
      <c r="I108" s="212">
        <f t="shared" si="17"/>
        <v>0.9</v>
      </c>
      <c r="J108" s="212">
        <f>1</f>
        <v>1</v>
      </c>
      <c r="K108" s="212">
        <f t="shared" si="18"/>
        <v>4.1870000000000003</v>
      </c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  <c r="AA108" s="212"/>
      <c r="AB108" s="212"/>
      <c r="AC108" s="196"/>
      <c r="AD108" s="27"/>
      <c r="AE108" s="213"/>
      <c r="AF108" s="212">
        <f t="shared" si="19"/>
        <v>-6.9736941407632091E-2</v>
      </c>
      <c r="AG108" s="212"/>
      <c r="AH108" s="212"/>
      <c r="AI108" s="212"/>
      <c r="AJ108" s="212"/>
      <c r="AK108" s="212"/>
      <c r="AL108" s="212"/>
      <c r="AM108" s="212"/>
      <c r="AN108" s="212"/>
      <c r="AO108" s="212"/>
      <c r="AP108" s="196"/>
      <c r="AQ108" s="196"/>
      <c r="AR108" s="211"/>
      <c r="AS108" s="212">
        <f t="shared" si="11"/>
        <v>-2.9596315457315826E-3</v>
      </c>
      <c r="AT108" s="212">
        <f>[1]!LIM(AT107+Mode*r0*((1+IntegrationStep/2/Ti+Td/IntegrationStep)*AS108-(1-IntegrationStep/2/Ti+2*Td/IntegrationStep)*AS107+Td/IntegrationStep*AS106))</f>
        <v>0.39529774070120477</v>
      </c>
      <c r="AU108" s="212">
        <f t="shared" si="12"/>
        <v>40.794124671602574</v>
      </c>
      <c r="AW108" s="58"/>
      <c r="AX108" s="58"/>
      <c r="AY108" s="58"/>
      <c r="AZ108" s="58"/>
    </row>
    <row r="109" spans="1:52" s="185" customFormat="1" ht="15" customHeight="1" x14ac:dyDescent="0.25">
      <c r="A109" s="200"/>
      <c r="B109" s="211"/>
      <c r="C109" s="212">
        <f t="shared" si="13"/>
        <v>9.7999999999999812</v>
      </c>
      <c r="D109" s="231">
        <f>15+[1]!STEPLOAD(5)</f>
        <v>20</v>
      </c>
      <c r="E109" s="212">
        <f t="shared" si="15"/>
        <v>41.083114132034972</v>
      </c>
      <c r="F109" s="212">
        <f t="shared" si="16"/>
        <v>0.5</v>
      </c>
      <c r="G109" s="212">
        <f>5</f>
        <v>5</v>
      </c>
      <c r="H109" s="212">
        <f t="shared" si="14"/>
        <v>47.429641040302023</v>
      </c>
      <c r="I109" s="212">
        <f t="shared" si="17"/>
        <v>0.9</v>
      </c>
      <c r="J109" s="212">
        <f>1</f>
        <v>1</v>
      </c>
      <c r="K109" s="212">
        <f t="shared" si="18"/>
        <v>4.1870000000000003</v>
      </c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  <c r="AA109" s="212"/>
      <c r="AB109" s="212"/>
      <c r="AC109" s="196"/>
      <c r="AD109" s="27"/>
      <c r="AE109" s="213"/>
      <c r="AF109" s="212">
        <f t="shared" si="19"/>
        <v>-6.9301289665316457E-2</v>
      </c>
      <c r="AG109" s="212"/>
      <c r="AH109" s="212"/>
      <c r="AI109" s="212"/>
      <c r="AJ109" s="212"/>
      <c r="AK109" s="212"/>
      <c r="AL109" s="212"/>
      <c r="AM109" s="212"/>
      <c r="AN109" s="212"/>
      <c r="AO109" s="212"/>
      <c r="AP109" s="196"/>
      <c r="AQ109" s="196"/>
      <c r="AR109" s="211"/>
      <c r="AS109" s="212">
        <f t="shared" si="11"/>
        <v>-2.8898946043239703E-3</v>
      </c>
      <c r="AT109" s="212">
        <f>[1]!LIM(AT108+Mode*r0*((1+IntegrationStep/2/Ti+Td/IntegrationStep)*AS109-(1-IntegrationStep/2/Ti+2*Td/IntegrationStep)*AS108+Td/IntegrationStep*AS107))</f>
        <v>0.39524700866918355</v>
      </c>
      <c r="AU109" s="212">
        <f t="shared" si="12"/>
        <v>40.794124671602574</v>
      </c>
      <c r="AW109" s="58"/>
      <c r="AX109" s="58"/>
      <c r="AY109" s="58"/>
      <c r="AZ109" s="58"/>
    </row>
    <row r="110" spans="1:52" s="185" customFormat="1" ht="15" customHeight="1" x14ac:dyDescent="0.25">
      <c r="A110" s="200"/>
      <c r="B110" s="211"/>
      <c r="C110" s="212">
        <f t="shared" si="13"/>
        <v>9.8999999999999808</v>
      </c>
      <c r="D110" s="231">
        <f>15+[1]!STEPLOAD(5)</f>
        <v>20</v>
      </c>
      <c r="E110" s="212">
        <f t="shared" si="15"/>
        <v>41.076184003068441</v>
      </c>
      <c r="F110" s="212">
        <f t="shared" si="16"/>
        <v>0.5</v>
      </c>
      <c r="G110" s="212">
        <f>5</f>
        <v>5</v>
      </c>
      <c r="H110" s="212">
        <f t="shared" si="14"/>
        <v>47.425897383522461</v>
      </c>
      <c r="I110" s="212">
        <f t="shared" si="17"/>
        <v>0.9</v>
      </c>
      <c r="J110" s="212">
        <f>1</f>
        <v>1</v>
      </c>
      <c r="K110" s="212">
        <f t="shared" si="18"/>
        <v>4.1870000000000003</v>
      </c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  <c r="AA110" s="212"/>
      <c r="AB110" s="212"/>
      <c r="AC110" s="196"/>
      <c r="AD110" s="27"/>
      <c r="AE110" s="213"/>
      <c r="AF110" s="212">
        <f t="shared" si="19"/>
        <v>-6.8769217351495993E-2</v>
      </c>
      <c r="AG110" s="212"/>
      <c r="AH110" s="212"/>
      <c r="AI110" s="212"/>
      <c r="AJ110" s="212"/>
      <c r="AK110" s="212"/>
      <c r="AL110" s="212"/>
      <c r="AM110" s="212"/>
      <c r="AN110" s="212"/>
      <c r="AO110" s="212"/>
      <c r="AP110" s="196"/>
      <c r="AQ110" s="196"/>
      <c r="AR110" s="211"/>
      <c r="AS110" s="212">
        <f t="shared" si="11"/>
        <v>-2.820593314658666E-3</v>
      </c>
      <c r="AT110" s="212">
        <f>[1]!LIM(AT109+Mode*r0*((1+IntegrationStep/2/Ti+Td/IntegrationStep)*AS110-(1-IntegrationStep/2/Ti+2*Td/IntegrationStep)*AS109+Td/IntegrationStep*AS108))</f>
        <v>0.39521581152935387</v>
      </c>
      <c r="AU110" s="212">
        <f t="shared" si="12"/>
        <v>40.794124671602574</v>
      </c>
      <c r="AW110" s="58"/>
      <c r="AX110" s="58"/>
      <c r="AY110" s="58"/>
      <c r="AZ110" s="58"/>
    </row>
    <row r="111" spans="1:52" s="185" customFormat="1" ht="15" customHeight="1" x14ac:dyDescent="0.25">
      <c r="A111" s="200"/>
      <c r="B111" s="211"/>
      <c r="C111" s="212">
        <f t="shared" si="13"/>
        <v>9.9999999999999805</v>
      </c>
      <c r="D111" s="231">
        <f>15+[1]!STEPLOAD(5)</f>
        <v>20</v>
      </c>
      <c r="E111" s="212">
        <f t="shared" si="15"/>
        <v>41.069307081333292</v>
      </c>
      <c r="F111" s="212">
        <f t="shared" si="16"/>
        <v>0.5</v>
      </c>
      <c r="G111" s="212">
        <f>5</f>
        <v>5</v>
      </c>
      <c r="H111" s="212">
        <f t="shared" si="14"/>
        <v>47.424302582985916</v>
      </c>
      <c r="I111" s="212">
        <f t="shared" si="17"/>
        <v>0.9</v>
      </c>
      <c r="J111" s="212">
        <f>1</f>
        <v>1</v>
      </c>
      <c r="K111" s="212">
        <f t="shared" si="18"/>
        <v>4.1870000000000003</v>
      </c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  <c r="AA111" s="212"/>
      <c r="AB111" s="212"/>
      <c r="AC111" s="196"/>
      <c r="AD111" s="27"/>
      <c r="AE111" s="213"/>
      <c r="AF111" s="212">
        <f t="shared" si="19"/>
        <v>-6.8150085984424624E-2</v>
      </c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196"/>
      <c r="AQ111" s="196"/>
      <c r="AR111" s="211"/>
      <c r="AS111" s="212">
        <f t="shared" si="11"/>
        <v>-2.7518240973071783E-3</v>
      </c>
      <c r="AT111" s="212">
        <f>[1]!LIM(AT110+Mode*r0*((1+IntegrationStep/2/Ti+Td/IntegrationStep)*AS111-(1-IntegrationStep/2/Ti+2*Td/IntegrationStep)*AS110+Td/IntegrationStep*AS109))</f>
        <v>0.39520252152488261</v>
      </c>
      <c r="AU111" s="212">
        <f t="shared" si="12"/>
        <v>40.794124671602574</v>
      </c>
      <c r="AW111" s="58"/>
      <c r="AX111" s="58"/>
      <c r="AY111" s="58"/>
      <c r="AZ111" s="58"/>
    </row>
    <row r="112" spans="1:52" s="185" customFormat="1" ht="15" customHeight="1" x14ac:dyDescent="0.25">
      <c r="A112" s="200"/>
      <c r="B112" s="211"/>
      <c r="C112" s="212">
        <f t="shared" si="13"/>
        <v>10.09999999999998</v>
      </c>
      <c r="D112" s="231">
        <f>15+[1]!STEPLOAD(5)</f>
        <v>20</v>
      </c>
      <c r="E112" s="212">
        <f t="shared" si="15"/>
        <v>41.062492072734848</v>
      </c>
      <c r="F112" s="212">
        <f t="shared" si="16"/>
        <v>0.5</v>
      </c>
      <c r="G112" s="212">
        <f>5</f>
        <v>5</v>
      </c>
      <c r="H112" s="212">
        <f t="shared" si="14"/>
        <v>47.424674030313739</v>
      </c>
      <c r="I112" s="212">
        <f t="shared" si="17"/>
        <v>0.9</v>
      </c>
      <c r="J112" s="212">
        <f>1</f>
        <v>1</v>
      </c>
      <c r="K112" s="212">
        <f t="shared" si="18"/>
        <v>4.1870000000000003</v>
      </c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  <c r="AA112" s="212"/>
      <c r="AB112" s="212"/>
      <c r="AC112" s="196"/>
      <c r="AD112" s="27"/>
      <c r="AE112" s="213"/>
      <c r="AF112" s="212">
        <f t="shared" si="19"/>
        <v>-6.7452616526775255E-2</v>
      </c>
      <c r="AG112" s="212"/>
      <c r="AH112" s="212"/>
      <c r="AI112" s="212"/>
      <c r="AJ112" s="212"/>
      <c r="AK112" s="212"/>
      <c r="AL112" s="212"/>
      <c r="AM112" s="212"/>
      <c r="AN112" s="212"/>
      <c r="AO112" s="212"/>
      <c r="AP112" s="196"/>
      <c r="AQ112" s="196"/>
      <c r="AR112" s="211"/>
      <c r="AS112" s="212">
        <f t="shared" si="11"/>
        <v>-2.6836740113227366E-3</v>
      </c>
      <c r="AT112" s="212">
        <f>[1]!LIM(AT111+Mode*r0*((1+IntegrationStep/2/Ti+Td/IntegrationStep)*AS112-(1-IntegrationStep/2/Ti+2*Td/IntegrationStep)*AS111+Td/IntegrationStep*AS110))</f>
        <v>0.39520561691928113</v>
      </c>
      <c r="AU112" s="212">
        <f t="shared" si="12"/>
        <v>40.794124671602574</v>
      </c>
      <c r="AW112" s="58"/>
      <c r="AX112" s="58"/>
      <c r="AY112" s="58"/>
      <c r="AZ112" s="58"/>
    </row>
    <row r="113" spans="1:52" s="185" customFormat="1" ht="15" customHeight="1" x14ac:dyDescent="0.25">
      <c r="A113" s="200"/>
      <c r="B113" s="211"/>
      <c r="C113" s="212">
        <f t="shared" si="13"/>
        <v>10.19999999999998</v>
      </c>
      <c r="D113" s="231">
        <f>15+[1]!STEPLOAD(5)</f>
        <v>20</v>
      </c>
      <c r="E113" s="212">
        <f t="shared" si="15"/>
        <v>41.055746811082173</v>
      </c>
      <c r="F113" s="212">
        <f t="shared" si="16"/>
        <v>0.5</v>
      </c>
      <c r="G113" s="212">
        <f>5</f>
        <v>5</v>
      </c>
      <c r="H113" s="212">
        <f t="shared" si="14"/>
        <v>47.426841093424216</v>
      </c>
      <c r="I113" s="212">
        <f t="shared" si="17"/>
        <v>0.9</v>
      </c>
      <c r="J113" s="212">
        <f>1</f>
        <v>1</v>
      </c>
      <c r="K113" s="212">
        <f t="shared" si="18"/>
        <v>4.1870000000000003</v>
      </c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  <c r="AA113" s="212"/>
      <c r="AB113" s="212"/>
      <c r="AC113" s="196"/>
      <c r="AD113" s="27"/>
      <c r="AE113" s="213"/>
      <c r="AF113" s="212">
        <f t="shared" si="19"/>
        <v>-6.6684927868103205E-2</v>
      </c>
      <c r="AG113" s="212"/>
      <c r="AH113" s="212"/>
      <c r="AI113" s="212"/>
      <c r="AJ113" s="212"/>
      <c r="AK113" s="212"/>
      <c r="AL113" s="212"/>
      <c r="AM113" s="212"/>
      <c r="AN113" s="212"/>
      <c r="AO113" s="212"/>
      <c r="AP113" s="196"/>
      <c r="AQ113" s="196"/>
      <c r="AR113" s="211"/>
      <c r="AS113" s="212">
        <f t="shared" si="11"/>
        <v>-2.6162213947959856E-3</v>
      </c>
      <c r="AT113" s="212">
        <f>[1]!LIM(AT112+Mode*r0*((1+IntegrationStep/2/Ti+Td/IntegrationStep)*AS113-(1-IntegrationStep/2/Ti+2*Td/IntegrationStep)*AS112+Td/IntegrationStep*AS111))</f>
        <v>0.39522367577853512</v>
      </c>
      <c r="AU113" s="212">
        <f t="shared" si="12"/>
        <v>40.794124671602574</v>
      </c>
      <c r="AW113" s="58"/>
      <c r="AX113" s="58"/>
      <c r="AY113" s="58"/>
      <c r="AZ113" s="58"/>
    </row>
    <row r="114" spans="1:52" s="185" customFormat="1" ht="15" customHeight="1" x14ac:dyDescent="0.25">
      <c r="A114" s="200"/>
      <c r="B114" s="211"/>
      <c r="C114" s="212">
        <f t="shared" si="13"/>
        <v>10.299999999999979</v>
      </c>
      <c r="D114" s="231">
        <f>15+[1]!STEPLOAD(5)</f>
        <v>20</v>
      </c>
      <c r="E114" s="212">
        <f t="shared" si="15"/>
        <v>41.049078318295365</v>
      </c>
      <c r="F114" s="212">
        <f t="shared" si="16"/>
        <v>0.5</v>
      </c>
      <c r="G114" s="212">
        <f>5</f>
        <v>5</v>
      </c>
      <c r="H114" s="212">
        <f t="shared" si="14"/>
        <v>47.430644411697976</v>
      </c>
      <c r="I114" s="212">
        <f t="shared" si="17"/>
        <v>0.9</v>
      </c>
      <c r="J114" s="212">
        <f>1</f>
        <v>1</v>
      </c>
      <c r="K114" s="212">
        <f t="shared" si="18"/>
        <v>4.1870000000000003</v>
      </c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  <c r="AA114" s="212"/>
      <c r="AB114" s="212"/>
      <c r="AC114" s="196"/>
      <c r="AD114" s="27"/>
      <c r="AE114" s="213"/>
      <c r="AF114" s="212">
        <f t="shared" si="19"/>
        <v>-6.5854573146557183E-2</v>
      </c>
      <c r="AG114" s="212"/>
      <c r="AH114" s="212"/>
      <c r="AI114" s="212"/>
      <c r="AJ114" s="212"/>
      <c r="AK114" s="212"/>
      <c r="AL114" s="212"/>
      <c r="AM114" s="212"/>
      <c r="AN114" s="212"/>
      <c r="AO114" s="212"/>
      <c r="AP114" s="196"/>
      <c r="AQ114" s="196"/>
      <c r="AR114" s="211"/>
      <c r="AS114" s="212">
        <f t="shared" si="11"/>
        <v>-2.5495364669279041E-3</v>
      </c>
      <c r="AT114" s="212">
        <f>[1]!LIM(AT113+Mode*r0*((1+IntegrationStep/2/Ti+Td/IntegrationStep)*AS114-(1-IntegrationStep/2/Ti+2*Td/IntegrationStep)*AS113+Td/IntegrationStep*AS112))</f>
        <v>0.39525537009748313</v>
      </c>
      <c r="AU114" s="212">
        <f t="shared" si="12"/>
        <v>40.794124671602574</v>
      </c>
      <c r="AW114" s="58"/>
      <c r="AX114" s="58"/>
      <c r="AY114" s="58"/>
      <c r="AZ114" s="58"/>
    </row>
    <row r="115" spans="1:52" s="185" customFormat="1" ht="15" customHeight="1" x14ac:dyDescent="0.25">
      <c r="A115" s="200"/>
      <c r="B115" s="211"/>
      <c r="C115" s="212">
        <f t="shared" si="13"/>
        <v>10.399999999999979</v>
      </c>
      <c r="D115" s="231">
        <f>15+[1]!STEPLOAD(5)</f>
        <v>20</v>
      </c>
      <c r="E115" s="212">
        <f t="shared" si="15"/>
        <v>41.042492860980708</v>
      </c>
      <c r="F115" s="212">
        <f t="shared" si="16"/>
        <v>0.5</v>
      </c>
      <c r="G115" s="212">
        <f>5</f>
        <v>5</v>
      </c>
      <c r="H115" s="212">
        <f t="shared" si="14"/>
        <v>47.435935230245839</v>
      </c>
      <c r="I115" s="212">
        <f t="shared" si="17"/>
        <v>0.9</v>
      </c>
      <c r="J115" s="212">
        <f>1</f>
        <v>1</v>
      </c>
      <c r="K115" s="212">
        <f t="shared" si="18"/>
        <v>4.1870000000000003</v>
      </c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  <c r="AA115" s="212"/>
      <c r="AB115" s="212"/>
      <c r="AC115" s="196"/>
      <c r="AD115" s="27"/>
      <c r="AE115" s="213"/>
      <c r="AF115" s="212">
        <f t="shared" si="19"/>
        <v>-6.4968574026360582E-2</v>
      </c>
      <c r="AG115" s="212"/>
      <c r="AH115" s="212"/>
      <c r="AI115" s="212"/>
      <c r="AJ115" s="212"/>
      <c r="AK115" s="212"/>
      <c r="AL115" s="212"/>
      <c r="AM115" s="212"/>
      <c r="AN115" s="212"/>
      <c r="AO115" s="212"/>
      <c r="AP115" s="196"/>
      <c r="AQ115" s="196"/>
      <c r="AR115" s="211"/>
      <c r="AS115" s="212">
        <f t="shared" si="11"/>
        <v>-2.4836818937813377E-3</v>
      </c>
      <c r="AT115" s="212">
        <f>[1]!LIM(AT114+Mode*r0*((1+IntegrationStep/2/Ti+Td/IntegrationStep)*AS115-(1-IntegrationStep/2/Ti+2*Td/IntegrationStep)*AS114+Td/IntegrationStep*AS113))</f>
        <v>0.39529946025204865</v>
      </c>
      <c r="AU115" s="212">
        <f t="shared" si="12"/>
        <v>40.794124671602574</v>
      </c>
      <c r="AW115" s="58"/>
      <c r="AX115" s="58"/>
      <c r="AY115" s="58"/>
      <c r="AZ115" s="58"/>
    </row>
    <row r="116" spans="1:52" s="185" customFormat="1" ht="15" customHeight="1" x14ac:dyDescent="0.25">
      <c r="A116" s="200"/>
      <c r="B116" s="211"/>
      <c r="C116" s="212">
        <f t="shared" si="13"/>
        <v>10.499999999999979</v>
      </c>
      <c r="D116" s="231">
        <f>15+[1]!STEPLOAD(5)</f>
        <v>20</v>
      </c>
      <c r="E116" s="212">
        <f t="shared" si="15"/>
        <v>41.03599600357807</v>
      </c>
      <c r="F116" s="212">
        <f t="shared" si="16"/>
        <v>0.5</v>
      </c>
      <c r="G116" s="212">
        <f>5</f>
        <v>5</v>
      </c>
      <c r="H116" s="212">
        <f t="shared" si="14"/>
        <v>47.442574771188752</v>
      </c>
      <c r="I116" s="212">
        <f t="shared" si="17"/>
        <v>0.9</v>
      </c>
      <c r="J116" s="212">
        <f>1</f>
        <v>1</v>
      </c>
      <c r="K116" s="212">
        <f t="shared" si="18"/>
        <v>4.1870000000000003</v>
      </c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  <c r="AA116" s="212"/>
      <c r="AB116" s="212"/>
      <c r="AC116" s="196"/>
      <c r="AD116" s="27"/>
      <c r="AE116" s="213"/>
      <c r="AF116" s="212">
        <f t="shared" si="19"/>
        <v>-6.4033453041357102E-2</v>
      </c>
      <c r="AG116" s="212"/>
      <c r="AH116" s="212"/>
      <c r="AI116" s="212"/>
      <c r="AJ116" s="212"/>
      <c r="AK116" s="212"/>
      <c r="AL116" s="212"/>
      <c r="AM116" s="212"/>
      <c r="AN116" s="212"/>
      <c r="AO116" s="212"/>
      <c r="AP116" s="196"/>
      <c r="AQ116" s="196"/>
      <c r="AR116" s="211"/>
      <c r="AS116" s="212">
        <f t="shared" si="11"/>
        <v>-2.4187133197549572E-3</v>
      </c>
      <c r="AT116" s="212">
        <f>[1]!LIM(AT115+Mode*r0*((1+IntegrationStep/2/Ti+Td/IntegrationStep)*AS116-(1-IntegrationStep/2/Ti+2*Td/IntegrationStep)*AS115+Td/IntegrationStep*AS114))</f>
        <v>0.39535478975990629</v>
      </c>
      <c r="AU116" s="212">
        <f t="shared" si="12"/>
        <v>40.794124671602574</v>
      </c>
      <c r="AW116" s="58"/>
      <c r="AX116" s="58"/>
      <c r="AY116" s="58"/>
      <c r="AZ116" s="58"/>
    </row>
    <row r="117" spans="1:52" s="185" customFormat="1" ht="15" customHeight="1" x14ac:dyDescent="0.25">
      <c r="A117" s="200"/>
      <c r="B117" s="211"/>
      <c r="C117" s="212">
        <f t="shared" si="13"/>
        <v>10.599999999999978</v>
      </c>
      <c r="D117" s="231">
        <f>15+[1]!STEPLOAD(5)</f>
        <v>20</v>
      </c>
      <c r="E117" s="212">
        <f t="shared" si="15"/>
        <v>41.029592658273934</v>
      </c>
      <c r="F117" s="212">
        <f t="shared" si="16"/>
        <v>0.5</v>
      </c>
      <c r="G117" s="212">
        <f>5</f>
        <v>5</v>
      </c>
      <c r="H117" s="212">
        <f t="shared" si="14"/>
        <v>47.450433639967663</v>
      </c>
      <c r="I117" s="212">
        <f t="shared" si="17"/>
        <v>0.9</v>
      </c>
      <c r="J117" s="212">
        <f>1</f>
        <v>1</v>
      </c>
      <c r="K117" s="212">
        <f t="shared" si="18"/>
        <v>4.1870000000000003</v>
      </c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  <c r="AA117" s="212"/>
      <c r="AB117" s="212"/>
      <c r="AC117" s="196"/>
      <c r="AD117" s="27"/>
      <c r="AE117" s="213"/>
      <c r="AF117" s="212">
        <f t="shared" si="19"/>
        <v>-6.305526410917528E-2</v>
      </c>
      <c r="AG117" s="212"/>
      <c r="AH117" s="212"/>
      <c r="AI117" s="212"/>
      <c r="AJ117" s="212"/>
      <c r="AK117" s="212"/>
      <c r="AL117" s="212"/>
      <c r="AM117" s="212"/>
      <c r="AN117" s="212"/>
      <c r="AO117" s="212"/>
      <c r="AP117" s="196"/>
      <c r="AQ117" s="196"/>
      <c r="AR117" s="211"/>
      <c r="AS117" s="212">
        <f t="shared" si="11"/>
        <v>-2.354679866713596E-3</v>
      </c>
      <c r="AT117" s="212">
        <f>[1]!LIM(AT116+Mode*r0*((1+IntegrationStep/2/Ti+Td/IntegrationStep)*AS117-(1-IntegrationStep/2/Ti+2*Td/IntegrationStep)*AS116+Td/IntegrationStep*AS115))</f>
        <v>0.39542028033306387</v>
      </c>
      <c r="AU117" s="212">
        <f t="shared" si="12"/>
        <v>40.794124671602574</v>
      </c>
      <c r="AW117" s="58"/>
      <c r="AX117" s="58"/>
      <c r="AY117" s="58"/>
      <c r="AZ117" s="58"/>
    </row>
    <row r="118" spans="1:52" s="185" customFormat="1" ht="15" customHeight="1" x14ac:dyDescent="0.25">
      <c r="A118" s="200"/>
      <c r="B118" s="211"/>
      <c r="C118" s="212">
        <f t="shared" si="13"/>
        <v>10.699999999999978</v>
      </c>
      <c r="D118" s="231">
        <f>15+[1]!STEPLOAD(5)</f>
        <v>20</v>
      </c>
      <c r="E118" s="212">
        <f t="shared" si="15"/>
        <v>41.023287131863015</v>
      </c>
      <c r="F118" s="212">
        <f t="shared" si="16"/>
        <v>0.5</v>
      </c>
      <c r="G118" s="212">
        <f>5</f>
        <v>5</v>
      </c>
      <c r="H118" s="212">
        <f t="shared" si="14"/>
        <v>47.459391264804559</v>
      </c>
      <c r="I118" s="212">
        <f t="shared" si="17"/>
        <v>0.9</v>
      </c>
      <c r="J118" s="212">
        <f>1</f>
        <v>1</v>
      </c>
      <c r="K118" s="212">
        <f t="shared" si="18"/>
        <v>4.1870000000000003</v>
      </c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  <c r="AA118" s="212"/>
      <c r="AB118" s="212"/>
      <c r="AC118" s="196"/>
      <c r="AD118" s="27"/>
      <c r="AE118" s="213"/>
      <c r="AF118" s="212">
        <f t="shared" si="19"/>
        <v>-6.2039621315076676E-2</v>
      </c>
      <c r="AG118" s="212"/>
      <c r="AH118" s="212"/>
      <c r="AI118" s="212"/>
      <c r="AJ118" s="212"/>
      <c r="AK118" s="212"/>
      <c r="AL118" s="212"/>
      <c r="AM118" s="212"/>
      <c r="AN118" s="212"/>
      <c r="AO118" s="212"/>
      <c r="AP118" s="196"/>
      <c r="AQ118" s="196"/>
      <c r="AR118" s="211"/>
      <c r="AS118" s="212">
        <f t="shared" si="11"/>
        <v>-2.2916246026044008E-3</v>
      </c>
      <c r="AT118" s="212">
        <f>[1]!LIM(AT117+Mode*r0*((1+IntegrationStep/2/Ti+Td/IntegrationStep)*AS118-(1-IntegrationStep/2/Ti+2*Td/IntegrationStep)*AS117+Td/IntegrationStep*AS116))</f>
        <v>0.39549492720670465</v>
      </c>
      <c r="AU118" s="212">
        <f t="shared" si="12"/>
        <v>40.794124671602574</v>
      </c>
      <c r="AW118" s="58"/>
      <c r="AX118" s="58"/>
      <c r="AY118" s="58"/>
      <c r="AZ118" s="58"/>
    </row>
    <row r="119" spans="1:52" s="185" customFormat="1" ht="15" customHeight="1" x14ac:dyDescent="0.25">
      <c r="A119" s="200"/>
      <c r="B119" s="211"/>
      <c r="C119" s="212">
        <f t="shared" si="13"/>
        <v>10.799999999999978</v>
      </c>
      <c r="D119" s="231">
        <f>15+[1]!STEPLOAD(5)</f>
        <v>20</v>
      </c>
      <c r="E119" s="212">
        <f t="shared" si="15"/>
        <v>41.017083169731507</v>
      </c>
      <c r="F119" s="212">
        <f t="shared" si="16"/>
        <v>0.5</v>
      </c>
      <c r="G119" s="212">
        <f>5</f>
        <v>5</v>
      </c>
      <c r="H119" s="212">
        <f t="shared" si="14"/>
        <v>47.469335367534093</v>
      </c>
      <c r="I119" s="212">
        <f t="shared" si="17"/>
        <v>0.9</v>
      </c>
      <c r="J119" s="212">
        <f>1</f>
        <v>1</v>
      </c>
      <c r="K119" s="212">
        <f t="shared" si="18"/>
        <v>4.1870000000000003</v>
      </c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  <c r="AA119" s="212"/>
      <c r="AB119" s="212"/>
      <c r="AC119" s="196"/>
      <c r="AD119" s="27"/>
      <c r="AE119" s="213"/>
      <c r="AF119" s="212">
        <f t="shared" si="19"/>
        <v>-6.0991726059337559E-2</v>
      </c>
      <c r="AG119" s="212"/>
      <c r="AH119" s="212"/>
      <c r="AI119" s="212"/>
      <c r="AJ119" s="212"/>
      <c r="AK119" s="212"/>
      <c r="AL119" s="212"/>
      <c r="AM119" s="212"/>
      <c r="AN119" s="212"/>
      <c r="AO119" s="212"/>
      <c r="AP119" s="196"/>
      <c r="AQ119" s="196"/>
      <c r="AR119" s="211"/>
      <c r="AS119" s="212">
        <f t="shared" si="11"/>
        <v>-2.2295849812893208E-3</v>
      </c>
      <c r="AT119" s="212">
        <f>[1]!LIM(AT118+Mode*r0*((1+IntegrationStep/2/Ti+Td/IntegrationStep)*AS119-(1-IntegrationStep/2/Ti+2*Td/IntegrationStep)*AS118+Td/IntegrationStep*AS117))</f>
        <v>0.39557779472945076</v>
      </c>
      <c r="AU119" s="212">
        <f t="shared" si="12"/>
        <v>40.794124671602574</v>
      </c>
      <c r="AW119" s="58"/>
      <c r="AX119" s="58"/>
      <c r="AY119" s="58"/>
      <c r="AZ119" s="58"/>
    </row>
    <row r="120" spans="1:52" s="185" customFormat="1" ht="15" customHeight="1" x14ac:dyDescent="0.25">
      <c r="A120" s="200"/>
      <c r="B120" s="211"/>
      <c r="C120" s="212">
        <f t="shared" si="13"/>
        <v>10.899999999999977</v>
      </c>
      <c r="D120" s="231">
        <f>15+[1]!STEPLOAD(5)</f>
        <v>20</v>
      </c>
      <c r="E120" s="212">
        <f t="shared" si="15"/>
        <v>41.010983997125571</v>
      </c>
      <c r="F120" s="212">
        <f t="shared" si="16"/>
        <v>0.5</v>
      </c>
      <c r="G120" s="212">
        <f>5</f>
        <v>5</v>
      </c>
      <c r="H120" s="212">
        <f t="shared" si="14"/>
        <v>47.480161464119249</v>
      </c>
      <c r="I120" s="212">
        <f t="shared" si="17"/>
        <v>0.9</v>
      </c>
      <c r="J120" s="212">
        <f>1</f>
        <v>1</v>
      </c>
      <c r="K120" s="212">
        <f t="shared" si="18"/>
        <v>4.1870000000000003</v>
      </c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  <c r="AA120" s="212"/>
      <c r="AB120" s="212"/>
      <c r="AC120" s="196"/>
      <c r="AD120" s="27"/>
      <c r="AE120" s="213"/>
      <c r="AF120" s="212">
        <f t="shared" si="19"/>
        <v>-5.9916392657036521E-2</v>
      </c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196"/>
      <c r="AQ120" s="196"/>
      <c r="AR120" s="211"/>
      <c r="AS120" s="212">
        <f t="shared" si="11"/>
        <v>-2.1685932552299647E-3</v>
      </c>
      <c r="AT120" s="212">
        <f>[1]!LIM(AT119+Mode*r0*((1+IntegrationStep/2/Ti+Td/IntegrationStep)*AS120-(1-IntegrationStep/2/Ti+2*Td/IntegrationStep)*AS119+Td/IntegrationStep*AS118))</f>
        <v>0.39566801220099374</v>
      </c>
      <c r="AU120" s="212">
        <f t="shared" si="12"/>
        <v>40.794124671602574</v>
      </c>
      <c r="AW120" s="58"/>
      <c r="AX120" s="58"/>
      <c r="AY120" s="58"/>
      <c r="AZ120" s="58"/>
    </row>
    <row r="121" spans="1:52" s="185" customFormat="1" ht="15" customHeight="1" x14ac:dyDescent="0.25">
      <c r="A121" s="200"/>
      <c r="B121" s="211"/>
      <c r="C121" s="212">
        <f t="shared" si="13"/>
        <v>10.999999999999977</v>
      </c>
      <c r="D121" s="231">
        <f>15+[1]!STEPLOAD(5)</f>
        <v>20</v>
      </c>
      <c r="E121" s="212">
        <f t="shared" si="15"/>
        <v>41.004992357859869</v>
      </c>
      <c r="F121" s="212">
        <f t="shared" si="16"/>
        <v>0.5</v>
      </c>
      <c r="G121" s="212">
        <f>5</f>
        <v>5</v>
      </c>
      <c r="H121" s="212">
        <f t="shared" si="14"/>
        <v>47.49177239325131</v>
      </c>
      <c r="I121" s="212">
        <f t="shared" si="17"/>
        <v>0.9</v>
      </c>
      <c r="J121" s="212">
        <f>1</f>
        <v>1</v>
      </c>
      <c r="K121" s="212">
        <f t="shared" si="18"/>
        <v>4.1870000000000003</v>
      </c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  <c r="AA121" s="212"/>
      <c r="AB121" s="212"/>
      <c r="AC121" s="196"/>
      <c r="AD121" s="27"/>
      <c r="AE121" s="213"/>
      <c r="AF121" s="212">
        <f t="shared" si="19"/>
        <v>-5.8818072474490446E-2</v>
      </c>
      <c r="AG121" s="212"/>
      <c r="AH121" s="212"/>
      <c r="AI121" s="212"/>
      <c r="AJ121" s="212"/>
      <c r="AK121" s="212"/>
      <c r="AL121" s="212"/>
      <c r="AM121" s="212"/>
      <c r="AN121" s="212"/>
      <c r="AO121" s="212"/>
      <c r="AP121" s="196"/>
      <c r="AQ121" s="196"/>
      <c r="AR121" s="211"/>
      <c r="AS121" s="212">
        <f t="shared" si="11"/>
        <v>-2.1086768625729491E-3</v>
      </c>
      <c r="AT121" s="212">
        <f>[1]!LIM(AT120+Mode*r0*((1+IntegrationStep/2/Ti+Td/IntegrationStep)*AS121-(1-IntegrationStep/2/Ti+2*Td/IntegrationStep)*AS120+Td/IntegrationStep*AS119))</f>
        <v>0.39576476994376092</v>
      </c>
      <c r="AU121" s="212">
        <f t="shared" si="12"/>
        <v>40.794124671602574</v>
      </c>
      <c r="AW121" s="58"/>
      <c r="AX121" s="58"/>
      <c r="AY121" s="58"/>
      <c r="AZ121" s="58"/>
    </row>
    <row r="122" spans="1:52" s="185" customFormat="1" ht="15" customHeight="1" x14ac:dyDescent="0.25">
      <c r="A122" s="200"/>
      <c r="B122" s="211"/>
      <c r="C122" s="212">
        <f t="shared" si="13"/>
        <v>11.099999999999977</v>
      </c>
      <c r="D122" s="231">
        <f>15+[1]!STEPLOAD(5)</f>
        <v>20</v>
      </c>
      <c r="E122" s="212">
        <f t="shared" si="15"/>
        <v>40.999110550612421</v>
      </c>
      <c r="F122" s="212">
        <f t="shared" si="16"/>
        <v>0.5</v>
      </c>
      <c r="G122" s="212">
        <f>5</f>
        <v>5</v>
      </c>
      <c r="H122" s="212">
        <f t="shared" si="14"/>
        <v>47.504077871520266</v>
      </c>
      <c r="I122" s="212">
        <f t="shared" si="17"/>
        <v>0.9</v>
      </c>
      <c r="J122" s="212">
        <f>1</f>
        <v>1</v>
      </c>
      <c r="K122" s="212">
        <f t="shared" si="18"/>
        <v>4.1870000000000003</v>
      </c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  <c r="AA122" s="212"/>
      <c r="AB122" s="212"/>
      <c r="AC122" s="196"/>
      <c r="AD122" s="27"/>
      <c r="AE122" s="213"/>
      <c r="AF122" s="212">
        <f t="shared" si="19"/>
        <v>-5.7700876682057256E-2</v>
      </c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196"/>
      <c r="AQ122" s="196"/>
      <c r="AR122" s="211"/>
      <c r="AS122" s="212">
        <f t="shared" si="11"/>
        <v>-2.0498587900984687E-3</v>
      </c>
      <c r="AT122" s="212">
        <f>[1]!LIM(AT121+Mode*r0*((1+IntegrationStep/2/Ti+Td/IntegrationStep)*AS122-(1-IntegrationStep/2/Ti+2*Td/IntegrationStep)*AS121+Td/IntegrationStep*AS120))</f>
        <v>0.39586731559600224</v>
      </c>
      <c r="AU122" s="212">
        <f t="shared" si="12"/>
        <v>40.794124671602574</v>
      </c>
      <c r="AW122" s="58"/>
      <c r="AX122" s="58"/>
      <c r="AY122" s="58"/>
      <c r="AZ122" s="58"/>
    </row>
    <row r="123" spans="1:52" s="185" customFormat="1" ht="15" customHeight="1" x14ac:dyDescent="0.25">
      <c r="A123" s="200"/>
      <c r="B123" s="211"/>
      <c r="C123" s="212">
        <f t="shared" si="13"/>
        <v>11.199999999999976</v>
      </c>
      <c r="D123" s="231">
        <f>15+[1]!STEPLOAD(5)</f>
        <v>20</v>
      </c>
      <c r="E123" s="212">
        <f t="shared" si="15"/>
        <v>40.993340462944218</v>
      </c>
      <c r="F123" s="212">
        <f t="shared" si="16"/>
        <v>0.5</v>
      </c>
      <c r="G123" s="212">
        <f>5</f>
        <v>5</v>
      </c>
      <c r="H123" s="212">
        <f t="shared" si="14"/>
        <v>47.516994073718841</v>
      </c>
      <c r="I123" s="212">
        <f t="shared" si="17"/>
        <v>0.9</v>
      </c>
      <c r="J123" s="212">
        <f>1</f>
        <v>1</v>
      </c>
      <c r="K123" s="212">
        <f t="shared" si="18"/>
        <v>4.1870000000000003</v>
      </c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  <c r="AA123" s="212"/>
      <c r="AB123" s="212"/>
      <c r="AC123" s="196"/>
      <c r="AD123" s="27"/>
      <c r="AE123" s="213"/>
      <c r="AF123" s="212">
        <f t="shared" si="19"/>
        <v>-5.6568597698913869E-2</v>
      </c>
      <c r="AG123" s="212"/>
      <c r="AH123" s="212"/>
      <c r="AI123" s="212"/>
      <c r="AJ123" s="212"/>
      <c r="AK123" s="212"/>
      <c r="AL123" s="212"/>
      <c r="AM123" s="212"/>
      <c r="AN123" s="212"/>
      <c r="AO123" s="212"/>
      <c r="AP123" s="196"/>
      <c r="AQ123" s="196"/>
      <c r="AR123" s="211"/>
      <c r="AS123" s="212">
        <f t="shared" si="11"/>
        <v>-1.9921579134164345E-3</v>
      </c>
      <c r="AT123" s="212">
        <f>[1]!LIM(AT122+Mode*r0*((1+IntegrationStep/2/Ti+Td/IntegrationStep)*AS123-(1-IntegrationStep/2/Ti+2*Td/IntegrationStep)*AS122+Td/IntegrationStep*AS121))</f>
        <v>0.3959749506143237</v>
      </c>
      <c r="AU123" s="212">
        <f t="shared" si="12"/>
        <v>40.794124671602574</v>
      </c>
      <c r="AW123" s="58"/>
      <c r="AX123" s="58"/>
      <c r="AY123" s="58"/>
      <c r="AZ123" s="58"/>
    </row>
    <row r="124" spans="1:52" s="185" customFormat="1" ht="15" customHeight="1" x14ac:dyDescent="0.25">
      <c r="A124" s="200"/>
      <c r="B124" s="211"/>
      <c r="C124" s="212">
        <f t="shared" si="13"/>
        <v>11.299999999999976</v>
      </c>
      <c r="D124" s="231">
        <f>15+[1]!STEPLOAD(5)</f>
        <v>20</v>
      </c>
      <c r="E124" s="212">
        <f t="shared" si="15"/>
        <v>40.987683603174325</v>
      </c>
      <c r="F124" s="212">
        <f t="shared" si="16"/>
        <v>0.5</v>
      </c>
      <c r="G124" s="212">
        <f>5</f>
        <v>5</v>
      </c>
      <c r="H124" s="212">
        <f t="shared" si="14"/>
        <v>47.5304432369214</v>
      </c>
      <c r="I124" s="212">
        <f t="shared" si="17"/>
        <v>0.9</v>
      </c>
      <c r="J124" s="212">
        <f>1</f>
        <v>1</v>
      </c>
      <c r="K124" s="212">
        <f t="shared" si="18"/>
        <v>4.1870000000000003</v>
      </c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  <c r="AA124" s="212"/>
      <c r="AB124" s="212"/>
      <c r="AC124" s="196"/>
      <c r="AD124" s="27"/>
      <c r="AE124" s="213"/>
      <c r="AF124" s="212">
        <f t="shared" si="19"/>
        <v>-5.5424729401298833E-2</v>
      </c>
      <c r="AG124" s="212"/>
      <c r="AH124" s="212"/>
      <c r="AI124" s="212"/>
      <c r="AJ124" s="212"/>
      <c r="AK124" s="212"/>
      <c r="AL124" s="212"/>
      <c r="AM124" s="212"/>
      <c r="AN124" s="212"/>
      <c r="AO124" s="212"/>
      <c r="AP124" s="196"/>
      <c r="AQ124" s="196"/>
      <c r="AR124" s="211"/>
      <c r="AS124" s="212">
        <f t="shared" si="11"/>
        <v>-1.9355893157175074E-3</v>
      </c>
      <c r="AT124" s="212">
        <f>[1]!LIM(AT123+Mode*r0*((1+IntegrationStep/2/Ti+Td/IntegrationStep)*AS124-(1-IntegrationStep/2/Ti+2*Td/IntegrationStep)*AS123+Td/IntegrationStep*AS122))</f>
        <v>0.396087026974345</v>
      </c>
      <c r="AU124" s="212">
        <f t="shared" si="12"/>
        <v>40.794124671602574</v>
      </c>
      <c r="AW124" s="58"/>
      <c r="AX124" s="58"/>
      <c r="AY124" s="58"/>
      <c r="AZ124" s="58"/>
    </row>
    <row r="125" spans="1:52" s="185" customFormat="1" ht="15" customHeight="1" x14ac:dyDescent="0.25">
      <c r="A125" s="200"/>
      <c r="B125" s="211"/>
      <c r="C125" s="212">
        <f t="shared" si="13"/>
        <v>11.399999999999975</v>
      </c>
      <c r="D125" s="231">
        <f>15+[1]!STEPLOAD(5)</f>
        <v>20</v>
      </c>
      <c r="E125" s="212">
        <f t="shared" si="15"/>
        <v>40.982141130234197</v>
      </c>
      <c r="F125" s="212">
        <f t="shared" si="16"/>
        <v>0.5</v>
      </c>
      <c r="G125" s="212">
        <f>5</f>
        <v>5</v>
      </c>
      <c r="H125" s="212">
        <f t="shared" si="14"/>
        <v>47.544353287047947</v>
      </c>
      <c r="I125" s="212">
        <f t="shared" si="17"/>
        <v>0.9</v>
      </c>
      <c r="J125" s="212">
        <f>1</f>
        <v>1</v>
      </c>
      <c r="K125" s="212">
        <f t="shared" si="18"/>
        <v>4.1870000000000003</v>
      </c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  <c r="AA125" s="212"/>
      <c r="AB125" s="212"/>
      <c r="AC125" s="196"/>
      <c r="AD125" s="27"/>
      <c r="AE125" s="213"/>
      <c r="AF125" s="212">
        <f t="shared" si="19"/>
        <v>-5.4272486162032507E-2</v>
      </c>
      <c r="AG125" s="212"/>
      <c r="AH125" s="212"/>
      <c r="AI125" s="212"/>
      <c r="AJ125" s="212"/>
      <c r="AK125" s="212"/>
      <c r="AL125" s="212"/>
      <c r="AM125" s="212"/>
      <c r="AN125" s="212"/>
      <c r="AO125" s="212"/>
      <c r="AP125" s="196"/>
      <c r="AQ125" s="196"/>
      <c r="AR125" s="211"/>
      <c r="AS125" s="212">
        <f t="shared" si="11"/>
        <v>-1.8801645863162264E-3</v>
      </c>
      <c r="AT125" s="212">
        <f>[1]!LIM(AT124+Mode*r0*((1+IntegrationStep/2/Ti+Td/IntegrationStep)*AS125-(1-IntegrationStep/2/Ti+2*Td/IntegrationStep)*AS124+Td/IntegrationStep*AS123))</f>
        <v>0.39620294405873291</v>
      </c>
      <c r="AU125" s="212">
        <f t="shared" si="12"/>
        <v>40.794124671602574</v>
      </c>
      <c r="AW125" s="58"/>
      <c r="AX125" s="58"/>
      <c r="AY125" s="58"/>
      <c r="AZ125" s="58"/>
    </row>
    <row r="126" spans="1:52" s="185" customFormat="1" ht="15" customHeight="1" x14ac:dyDescent="0.25">
      <c r="A126" s="200"/>
      <c r="B126" s="211"/>
      <c r="C126" s="212">
        <f t="shared" si="13"/>
        <v>11.499999999999975</v>
      </c>
      <c r="D126" s="231">
        <f>15+[1]!STEPLOAD(5)</f>
        <v>20</v>
      </c>
      <c r="E126" s="212">
        <f t="shared" si="15"/>
        <v>40.976713881617997</v>
      </c>
      <c r="F126" s="212">
        <f t="shared" si="16"/>
        <v>0.5</v>
      </c>
      <c r="G126" s="212">
        <f>5</f>
        <v>5</v>
      </c>
      <c r="H126" s="212">
        <f t="shared" si="14"/>
        <v>47.558657486693974</v>
      </c>
      <c r="I126" s="212">
        <f t="shared" si="17"/>
        <v>0.9</v>
      </c>
      <c r="J126" s="212">
        <f>1</f>
        <v>1</v>
      </c>
      <c r="K126" s="212">
        <f t="shared" si="18"/>
        <v>4.1870000000000003</v>
      </c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  <c r="AA126" s="212"/>
      <c r="AB126" s="212"/>
      <c r="AC126" s="196"/>
      <c r="AD126" s="27"/>
      <c r="AE126" s="213"/>
      <c r="AF126" s="212">
        <f t="shared" si="19"/>
        <v>-5.311482078541685E-2</v>
      </c>
      <c r="AG126" s="212"/>
      <c r="AH126" s="212"/>
      <c r="AI126" s="212"/>
      <c r="AJ126" s="212"/>
      <c r="AK126" s="212"/>
      <c r="AL126" s="212"/>
      <c r="AM126" s="212"/>
      <c r="AN126" s="212"/>
      <c r="AO126" s="212"/>
      <c r="AP126" s="196"/>
      <c r="AQ126" s="196"/>
      <c r="AR126" s="211"/>
      <c r="AS126" s="212">
        <f t="shared" si="11"/>
        <v>-1.8258921001542206E-3</v>
      </c>
      <c r="AT126" s="212">
        <f>[1]!LIM(AT125+Mode*r0*((1+IntegrationStep/2/Ti+Td/IntegrationStep)*AS126-(1-IntegrationStep/2/Ti+2*Td/IntegrationStep)*AS125+Td/IntegrationStep*AS124))</f>
        <v>0.39632214572244978</v>
      </c>
      <c r="AU126" s="212">
        <f t="shared" si="12"/>
        <v>40.794124671602574</v>
      </c>
      <c r="AW126" s="58"/>
      <c r="AX126" s="58"/>
      <c r="AY126" s="58"/>
      <c r="AZ126" s="58"/>
    </row>
    <row r="127" spans="1:52" s="185" customFormat="1" ht="15" customHeight="1" x14ac:dyDescent="0.25">
      <c r="A127" s="200"/>
      <c r="B127" s="211"/>
      <c r="C127" s="212">
        <f t="shared" si="13"/>
        <v>11.599999999999975</v>
      </c>
      <c r="D127" s="231">
        <f>15+[1]!STEPLOAD(5)</f>
        <v>20</v>
      </c>
      <c r="E127" s="212">
        <f t="shared" si="15"/>
        <v>40.971402399539457</v>
      </c>
      <c r="F127" s="212">
        <f t="shared" si="16"/>
        <v>0.5</v>
      </c>
      <c r="G127" s="212">
        <f>5</f>
        <v>5</v>
      </c>
      <c r="H127" s="212">
        <f t="shared" si="14"/>
        <v>47.573294103068413</v>
      </c>
      <c r="I127" s="212">
        <f t="shared" si="17"/>
        <v>0.9</v>
      </c>
      <c r="J127" s="212">
        <f>1</f>
        <v>1</v>
      </c>
      <c r="K127" s="212">
        <f t="shared" si="18"/>
        <v>4.1870000000000003</v>
      </c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  <c r="AA127" s="212"/>
      <c r="AB127" s="212"/>
      <c r="AC127" s="196"/>
      <c r="AD127" s="27"/>
      <c r="AE127" s="213"/>
      <c r="AF127" s="212">
        <f t="shared" si="19"/>
        <v>-5.1954441398341267E-2</v>
      </c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196"/>
      <c r="AQ127" s="196"/>
      <c r="AR127" s="211"/>
      <c r="AS127" s="212">
        <f t="shared" si="11"/>
        <v>-1.7727772793688246E-3</v>
      </c>
      <c r="AT127" s="212">
        <f>[1]!LIM(AT126+Mode*r0*((1+IntegrationStep/2/Ti+Td/IntegrationStep)*AS127-(1-IntegrationStep/2/Ti+2*Td/IntegrationStep)*AS126+Td/IntegrationStep*AS125))</f>
        <v>0.39644411752557013</v>
      </c>
      <c r="AU127" s="212">
        <f t="shared" si="12"/>
        <v>40.794124671602574</v>
      </c>
      <c r="AW127" s="58"/>
      <c r="AX127" s="58"/>
      <c r="AY127" s="58"/>
      <c r="AZ127" s="58"/>
    </row>
    <row r="128" spans="1:52" s="185" customFormat="1" ht="15" customHeight="1" x14ac:dyDescent="0.25">
      <c r="A128" s="200"/>
      <c r="B128" s="211"/>
      <c r="C128" s="212">
        <f t="shared" si="13"/>
        <v>11.699999999999974</v>
      </c>
      <c r="D128" s="231">
        <f>15+[1]!STEPLOAD(5)</f>
        <v>20</v>
      </c>
      <c r="E128" s="212">
        <f t="shared" si="15"/>
        <v>40.96620695539962</v>
      </c>
      <c r="F128" s="212">
        <f t="shared" si="16"/>
        <v>0.5</v>
      </c>
      <c r="G128" s="212">
        <f>5</f>
        <v>5</v>
      </c>
      <c r="H128" s="212">
        <f t="shared" si="14"/>
        <v>47.588206094945335</v>
      </c>
      <c r="I128" s="212">
        <f t="shared" si="17"/>
        <v>0.9</v>
      </c>
      <c r="J128" s="212">
        <f>1</f>
        <v>1</v>
      </c>
      <c r="K128" s="212">
        <f t="shared" si="18"/>
        <v>4.1870000000000003</v>
      </c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  <c r="AA128" s="212"/>
      <c r="AB128" s="212"/>
      <c r="AC128" s="196"/>
      <c r="AD128" s="27"/>
      <c r="AE128" s="213"/>
      <c r="AF128" s="212">
        <f t="shared" si="19"/>
        <v>-5.0793827355066323E-2</v>
      </c>
      <c r="AG128" s="212"/>
      <c r="AH128" s="212"/>
      <c r="AI128" s="212"/>
      <c r="AJ128" s="212"/>
      <c r="AK128" s="212"/>
      <c r="AL128" s="212"/>
      <c r="AM128" s="212"/>
      <c r="AN128" s="212"/>
      <c r="AO128" s="212"/>
      <c r="AP128" s="196"/>
      <c r="AQ128" s="196"/>
      <c r="AR128" s="211"/>
      <c r="AS128" s="212">
        <f t="shared" si="11"/>
        <v>-1.7208228379704594E-3</v>
      </c>
      <c r="AT128" s="212">
        <f>[1]!LIM(AT127+Mode*r0*((1+IntegrationStep/2/Ti+Td/IntegrationStep)*AS128-(1-IntegrationStep/2/Ti+2*Td/IntegrationStep)*AS127+Td/IntegrationStep*AS126))</f>
        <v>0.39656838412454448</v>
      </c>
      <c r="AU128" s="212">
        <f t="shared" si="12"/>
        <v>40.794124671602574</v>
      </c>
      <c r="AW128" s="58"/>
      <c r="AX128" s="58"/>
      <c r="AY128" s="58"/>
      <c r="AZ128" s="58"/>
    </row>
    <row r="129" spans="1:52" s="185" customFormat="1" ht="15" customHeight="1" x14ac:dyDescent="0.25">
      <c r="A129" s="200"/>
      <c r="B129" s="211"/>
      <c r="C129" s="212">
        <f t="shared" si="13"/>
        <v>11.799999999999974</v>
      </c>
      <c r="D129" s="231">
        <f>15+[1]!STEPLOAD(5)</f>
        <v>20</v>
      </c>
      <c r="E129" s="212">
        <f t="shared" si="15"/>
        <v>40.961127572664111</v>
      </c>
      <c r="F129" s="212">
        <f t="shared" si="16"/>
        <v>0.5</v>
      </c>
      <c r="G129" s="212">
        <f>5</f>
        <v>5</v>
      </c>
      <c r="H129" s="212">
        <f t="shared" si="14"/>
        <v>47.603340817591324</v>
      </c>
      <c r="I129" s="212">
        <f t="shared" si="17"/>
        <v>0.9</v>
      </c>
      <c r="J129" s="212">
        <f>1</f>
        <v>1</v>
      </c>
      <c r="K129" s="212">
        <f t="shared" si="18"/>
        <v>4.1870000000000003</v>
      </c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  <c r="AA129" s="212"/>
      <c r="AB129" s="212"/>
      <c r="AC129" s="196"/>
      <c r="AD129" s="27"/>
      <c r="AE129" s="213"/>
      <c r="AF129" s="212">
        <f t="shared" si="19"/>
        <v>-4.9635244210180396E-2</v>
      </c>
      <c r="AG129" s="212"/>
      <c r="AH129" s="212"/>
      <c r="AI129" s="212"/>
      <c r="AJ129" s="212"/>
      <c r="AK129" s="212"/>
      <c r="AL129" s="212"/>
      <c r="AM129" s="212"/>
      <c r="AN129" s="212"/>
      <c r="AO129" s="212"/>
      <c r="AP129" s="196"/>
      <c r="AQ129" s="196"/>
      <c r="AR129" s="211"/>
      <c r="AS129" s="212">
        <f t="shared" si="11"/>
        <v>-1.670029010615366E-3</v>
      </c>
      <c r="AT129" s="212">
        <f>[1]!LIM(AT128+Mode*r0*((1+IntegrationStep/2/Ti+Td/IntegrationStep)*AS129-(1-IntegrationStep/2/Ti+2*Td/IntegrationStep)*AS128+Td/IntegrationStep*AS127))</f>
        <v>0.39669450681326102</v>
      </c>
      <c r="AU129" s="212">
        <f t="shared" si="12"/>
        <v>40.794124671602574</v>
      </c>
      <c r="AW129" s="58"/>
      <c r="AX129" s="58"/>
      <c r="AY129" s="58"/>
      <c r="AZ129" s="58"/>
    </row>
    <row r="130" spans="1:52" s="185" customFormat="1" ht="15" customHeight="1" x14ac:dyDescent="0.25">
      <c r="A130" s="200"/>
      <c r="B130" s="211"/>
      <c r="C130" s="212">
        <f t="shared" si="13"/>
        <v>11.899999999999974</v>
      </c>
      <c r="D130" s="231">
        <f>15+[1]!STEPLOAD(5)</f>
        <v>20</v>
      </c>
      <c r="E130" s="212">
        <f t="shared" si="15"/>
        <v>40.956164048243096</v>
      </c>
      <c r="F130" s="212">
        <f t="shared" si="16"/>
        <v>0.5</v>
      </c>
      <c r="G130" s="212">
        <f>5</f>
        <v>5</v>
      </c>
      <c r="H130" s="212">
        <f t="shared" si="14"/>
        <v>47.618649744686635</v>
      </c>
      <c r="I130" s="212">
        <f t="shared" si="17"/>
        <v>0.9</v>
      </c>
      <c r="J130" s="212">
        <f>1</f>
        <v>1</v>
      </c>
      <c r="K130" s="212">
        <f t="shared" si="18"/>
        <v>4.1870000000000003</v>
      </c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A130" s="212"/>
      <c r="AB130" s="212"/>
      <c r="AC130" s="196"/>
      <c r="AD130" s="27"/>
      <c r="AE130" s="213"/>
      <c r="AF130" s="212">
        <f t="shared" si="19"/>
        <v>-4.8480757811271147E-2</v>
      </c>
      <c r="AG130" s="212"/>
      <c r="AH130" s="212"/>
      <c r="AI130" s="212"/>
      <c r="AJ130" s="212"/>
      <c r="AK130" s="212"/>
      <c r="AL130" s="212"/>
      <c r="AM130" s="212"/>
      <c r="AN130" s="212"/>
      <c r="AO130" s="212"/>
      <c r="AP130" s="196"/>
      <c r="AQ130" s="196"/>
      <c r="AR130" s="211"/>
      <c r="AS130" s="212">
        <f t="shared" si="11"/>
        <v>-1.6203937664052148E-3</v>
      </c>
      <c r="AT130" s="212">
        <f>[1]!LIM(AT129+Mode*r0*((1+IntegrationStep/2/Ti+Td/IntegrationStep)*AS130-(1-IntegrationStep/2/Ti+2*Td/IntegrationStep)*AS129+Td/IntegrationStep*AS128))</f>
        <v>0.39682208120572193</v>
      </c>
      <c r="AU130" s="212">
        <f t="shared" si="12"/>
        <v>40.794124671602574</v>
      </c>
      <c r="AW130" s="58"/>
      <c r="AX130" s="58"/>
      <c r="AY130" s="58"/>
      <c r="AZ130" s="58"/>
    </row>
    <row r="131" spans="1:52" s="185" customFormat="1" ht="15" customHeight="1" x14ac:dyDescent="0.25">
      <c r="A131" s="200"/>
      <c r="B131" s="211"/>
      <c r="C131" s="212">
        <f t="shared" si="13"/>
        <v>11.999999999999973</v>
      </c>
      <c r="D131" s="231">
        <f>15+[1]!STEPLOAD(5)</f>
        <v>20</v>
      </c>
      <c r="E131" s="212">
        <f t="shared" si="15"/>
        <v>40.95131597246197</v>
      </c>
      <c r="F131" s="212">
        <f t="shared" si="16"/>
        <v>0.5</v>
      </c>
      <c r="G131" s="212">
        <f>5</f>
        <v>5</v>
      </c>
      <c r="H131" s="212">
        <f t="shared" si="14"/>
        <v>47.634088206309428</v>
      </c>
      <c r="I131" s="212">
        <f t="shared" si="17"/>
        <v>0.9</v>
      </c>
      <c r="J131" s="212">
        <f>1</f>
        <v>1</v>
      </c>
      <c r="K131" s="212">
        <f t="shared" si="18"/>
        <v>4.1870000000000003</v>
      </c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A131" s="212"/>
      <c r="AB131" s="212"/>
      <c r="AC131" s="196"/>
      <c r="AD131" s="27"/>
      <c r="AE131" s="213"/>
      <c r="AF131" s="212">
        <f t="shared" si="19"/>
        <v>-4.7332247560098129E-2</v>
      </c>
      <c r="AG131" s="212"/>
      <c r="AH131" s="212"/>
      <c r="AI131" s="212"/>
      <c r="AJ131" s="212"/>
      <c r="AK131" s="212"/>
      <c r="AL131" s="212"/>
      <c r="AM131" s="212"/>
      <c r="AN131" s="212"/>
      <c r="AO131" s="212"/>
      <c r="AP131" s="196"/>
      <c r="AQ131" s="196"/>
      <c r="AR131" s="211"/>
      <c r="AS131" s="212">
        <f t="shared" si="11"/>
        <v>-1.5719130085939525E-3</v>
      </c>
      <c r="AT131" s="212">
        <f>[1]!LIM(AT130+Mode*r0*((1+IntegrationStep/2/Ti+Td/IntegrationStep)*AS131-(1-IntegrationStep/2/Ti+2*Td/IntegrationStep)*AS130+Td/IntegrationStep*AS129))</f>
        <v>0.39695073505257855</v>
      </c>
      <c r="AU131" s="212">
        <f t="shared" si="12"/>
        <v>40.794124671602574</v>
      </c>
      <c r="AW131" s="58"/>
      <c r="AX131" s="58"/>
      <c r="AY131" s="58"/>
      <c r="AZ131" s="58"/>
    </row>
    <row r="132" spans="1:52" s="185" customFormat="1" ht="15" customHeight="1" x14ac:dyDescent="0.25">
      <c r="A132" s="200"/>
      <c r="B132" s="211"/>
      <c r="C132" s="212">
        <f t="shared" si="13"/>
        <v>12.099999999999973</v>
      </c>
      <c r="D132" s="231">
        <f>15+[1]!STEPLOAD(5)</f>
        <v>20</v>
      </c>
      <c r="E132" s="212">
        <f t="shared" si="15"/>
        <v>40.946582747705961</v>
      </c>
      <c r="F132" s="212">
        <f t="shared" si="16"/>
        <v>0.5</v>
      </c>
      <c r="G132" s="212">
        <f>5</f>
        <v>5</v>
      </c>
      <c r="H132" s="212">
        <f t="shared" si="14"/>
        <v>47.649615142100963</v>
      </c>
      <c r="I132" s="212">
        <f t="shared" si="17"/>
        <v>0.9</v>
      </c>
      <c r="J132" s="212">
        <f>1</f>
        <v>1</v>
      </c>
      <c r="K132" s="212">
        <f t="shared" si="18"/>
        <v>4.1870000000000003</v>
      </c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196"/>
      <c r="AD132" s="27"/>
      <c r="AE132" s="213"/>
      <c r="AF132" s="212">
        <f t="shared" si="19"/>
        <v>-4.6191418888538838E-2</v>
      </c>
      <c r="AG132" s="212"/>
      <c r="AH132" s="212"/>
      <c r="AI132" s="212"/>
      <c r="AJ132" s="212"/>
      <c r="AK132" s="212"/>
      <c r="AL132" s="212"/>
      <c r="AM132" s="212"/>
      <c r="AN132" s="212"/>
      <c r="AO132" s="212"/>
      <c r="AP132" s="196"/>
      <c r="AQ132" s="196"/>
      <c r="AR132" s="211"/>
      <c r="AS132" s="212">
        <f t="shared" si="11"/>
        <v>-1.5245807610338603E-3</v>
      </c>
      <c r="AT132" s="212">
        <f>[1]!LIM(AT131+Mode*r0*((1+IntegrationStep/2/Ti+Td/IntegrationStep)*AS132-(1-IntegrationStep/2/Ti+2*Td/IntegrationStep)*AS131+Td/IntegrationStep*AS130))</f>
        <v>0.39708012618417471</v>
      </c>
      <c r="AU132" s="212">
        <f t="shared" si="12"/>
        <v>40.794124671602574</v>
      </c>
      <c r="AW132" s="58"/>
      <c r="AX132" s="58"/>
      <c r="AY132" s="58"/>
      <c r="AZ132" s="58"/>
    </row>
    <row r="133" spans="1:52" s="185" customFormat="1" ht="15" customHeight="1" x14ac:dyDescent="0.25">
      <c r="A133" s="200"/>
      <c r="B133" s="211"/>
      <c r="C133" s="212">
        <f t="shared" si="13"/>
        <v>12.199999999999973</v>
      </c>
      <c r="D133" s="231">
        <f>15+[1]!STEPLOAD(5)</f>
        <v>20</v>
      </c>
      <c r="E133" s="212">
        <f t="shared" si="15"/>
        <v>40.941963605817108</v>
      </c>
      <c r="F133" s="212">
        <f t="shared" si="16"/>
        <v>0.5</v>
      </c>
      <c r="G133" s="212">
        <f>5</f>
        <v>5</v>
      </c>
      <c r="H133" s="212">
        <f t="shared" si="14"/>
        <v>47.665192868778782</v>
      </c>
      <c r="I133" s="212">
        <f t="shared" si="17"/>
        <v>0.9</v>
      </c>
      <c r="J133" s="212">
        <f>1</f>
        <v>1</v>
      </c>
      <c r="K133" s="212">
        <f t="shared" si="18"/>
        <v>4.1870000000000003</v>
      </c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A133" s="212"/>
      <c r="AB133" s="212"/>
      <c r="AC133" s="196"/>
      <c r="AD133" s="27"/>
      <c r="AE133" s="213"/>
      <c r="AF133" s="212">
        <f t="shared" si="19"/>
        <v>-4.5059814992940872E-2</v>
      </c>
      <c r="AG133" s="212"/>
      <c r="AH133" s="212"/>
      <c r="AI133" s="212"/>
      <c r="AJ133" s="212"/>
      <c r="AK133" s="212"/>
      <c r="AL133" s="212"/>
      <c r="AM133" s="212"/>
      <c r="AN133" s="212"/>
      <c r="AO133" s="212"/>
      <c r="AP133" s="196"/>
      <c r="AQ133" s="196"/>
      <c r="AR133" s="211"/>
      <c r="AS133" s="212">
        <f t="shared" si="11"/>
        <v>-1.4783893421453343E-3</v>
      </c>
      <c r="AT133" s="212">
        <f>[1]!LIM(AT132+Mode*r0*((1+IntegrationStep/2/Ti+Td/IntegrationStep)*AS133-(1-IntegrationStep/2/Ti+2*Td/IntegrationStep)*AS132+Td/IntegrationStep*AS131))</f>
        <v>0.39720994057315651</v>
      </c>
      <c r="AU133" s="212">
        <f t="shared" si="12"/>
        <v>40.794124671602574</v>
      </c>
      <c r="AW133" s="58"/>
      <c r="AX133" s="58"/>
      <c r="AY133" s="58"/>
      <c r="AZ133" s="58"/>
    </row>
    <row r="134" spans="1:52" s="185" customFormat="1" ht="15" customHeight="1" x14ac:dyDescent="0.25">
      <c r="A134" s="200"/>
      <c r="B134" s="211"/>
      <c r="C134" s="212">
        <f t="shared" si="13"/>
        <v>12.299999999999972</v>
      </c>
      <c r="D134" s="231">
        <f>15+[1]!STEPLOAD(5)</f>
        <v>20</v>
      </c>
      <c r="E134" s="212">
        <f t="shared" si="15"/>
        <v>40.937457624317815</v>
      </c>
      <c r="F134" s="212">
        <f t="shared" si="16"/>
        <v>0.5</v>
      </c>
      <c r="G134" s="212">
        <f>5</f>
        <v>5</v>
      </c>
      <c r="H134" s="212">
        <f t="shared" si="14"/>
        <v>47.680786861206848</v>
      </c>
      <c r="I134" s="212">
        <f t="shared" si="17"/>
        <v>0.9</v>
      </c>
      <c r="J134" s="212">
        <f>1</f>
        <v>1</v>
      </c>
      <c r="K134" s="212">
        <f t="shared" si="18"/>
        <v>4.1870000000000003</v>
      </c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A134" s="212"/>
      <c r="AB134" s="212"/>
      <c r="AC134" s="196"/>
      <c r="AD134" s="27"/>
      <c r="AE134" s="213"/>
      <c r="AF134" s="212">
        <f t="shared" si="19"/>
        <v>-4.3938827868315489E-2</v>
      </c>
      <c r="AG134" s="212"/>
      <c r="AH134" s="212"/>
      <c r="AI134" s="212"/>
      <c r="AJ134" s="212"/>
      <c r="AK134" s="212"/>
      <c r="AL134" s="212"/>
      <c r="AM134" s="212"/>
      <c r="AN134" s="212"/>
      <c r="AO134" s="212"/>
      <c r="AP134" s="196"/>
      <c r="AQ134" s="196"/>
      <c r="AR134" s="211"/>
      <c r="AS134" s="212">
        <f t="shared" si="11"/>
        <v>-1.4333295271524093E-3</v>
      </c>
      <c r="AT134" s="212">
        <f>[1]!LIM(AT133+Mode*r0*((1+IntegrationStep/2/Ti+Td/IntegrationStep)*AS134-(1-IntegrationStep/2/Ti+2*Td/IntegrationStep)*AS133+Td/IntegrationStep*AS132))</f>
        <v>0.39733989051005708</v>
      </c>
      <c r="AU134" s="212">
        <f t="shared" si="12"/>
        <v>40.794124671602574</v>
      </c>
      <c r="AW134" s="58"/>
      <c r="AX134" s="58"/>
      <c r="AY134" s="58"/>
      <c r="AZ134" s="58"/>
    </row>
    <row r="135" spans="1:52" s="185" customFormat="1" ht="15" customHeight="1" x14ac:dyDescent="0.25">
      <c r="A135" s="200"/>
      <c r="B135" s="211"/>
      <c r="C135" s="212">
        <f t="shared" si="13"/>
        <v>12.399999999999972</v>
      </c>
      <c r="D135" s="231">
        <f>15+[1]!STEPLOAD(5)</f>
        <v>20</v>
      </c>
      <c r="E135" s="212">
        <f t="shared" si="15"/>
        <v>40.933063741530987</v>
      </c>
      <c r="F135" s="212">
        <f t="shared" si="16"/>
        <v>0.5</v>
      </c>
      <c r="G135" s="212">
        <f>5</f>
        <v>5</v>
      </c>
      <c r="H135" s="212">
        <f t="shared" si="14"/>
        <v>47.696365546274947</v>
      </c>
      <c r="I135" s="212">
        <f t="shared" si="17"/>
        <v>0.9</v>
      </c>
      <c r="J135" s="212">
        <f>1</f>
        <v>1</v>
      </c>
      <c r="K135" s="212">
        <f t="shared" si="18"/>
        <v>4.1870000000000003</v>
      </c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A135" s="212"/>
      <c r="AB135" s="212"/>
      <c r="AC135" s="196"/>
      <c r="AD135" s="27"/>
      <c r="AE135" s="213"/>
      <c r="AF135" s="212">
        <f t="shared" si="19"/>
        <v>-4.2829708681522582E-2</v>
      </c>
      <c r="AG135" s="212"/>
      <c r="AH135" s="212"/>
      <c r="AI135" s="212"/>
      <c r="AJ135" s="212"/>
      <c r="AK135" s="212"/>
      <c r="AL135" s="212"/>
      <c r="AM135" s="212"/>
      <c r="AN135" s="212"/>
      <c r="AO135" s="212"/>
      <c r="AP135" s="196"/>
      <c r="AQ135" s="196"/>
      <c r="AR135" s="211"/>
      <c r="AS135" s="212">
        <f t="shared" si="11"/>
        <v>-1.389390699284121E-3</v>
      </c>
      <c r="AT135" s="212">
        <f>[1]!LIM(AT134+Mode*r0*((1+IntegrationStep/2/Ti+Td/IntegrationStep)*AS135-(1-IntegrationStep/2/Ti+2*Td/IntegrationStep)*AS134+Td/IntegrationStep*AS133))</f>
        <v>0.39746971288562455</v>
      </c>
      <c r="AU135" s="212">
        <f t="shared" si="12"/>
        <v>40.794124671602574</v>
      </c>
      <c r="AW135" s="58"/>
      <c r="AX135" s="58"/>
      <c r="AY135" s="58"/>
      <c r="AZ135" s="58"/>
    </row>
    <row r="136" spans="1:52" s="185" customFormat="1" ht="15" customHeight="1" x14ac:dyDescent="0.25">
      <c r="A136" s="200"/>
      <c r="B136" s="211"/>
      <c r="C136" s="212">
        <f t="shared" si="13"/>
        <v>12.499999999999972</v>
      </c>
      <c r="D136" s="231">
        <f>15+[1]!STEPLOAD(5)</f>
        <v>20</v>
      </c>
      <c r="E136" s="212">
        <f t="shared" si="15"/>
        <v>40.928780770662833</v>
      </c>
      <c r="F136" s="212">
        <f t="shared" si="16"/>
        <v>0.5</v>
      </c>
      <c r="G136" s="212">
        <f>5</f>
        <v>5</v>
      </c>
      <c r="H136" s="212">
        <f t="shared" si="14"/>
        <v>47.711900108879263</v>
      </c>
      <c r="I136" s="212">
        <f t="shared" si="17"/>
        <v>0.9</v>
      </c>
      <c r="J136" s="212">
        <f>1</f>
        <v>1</v>
      </c>
      <c r="K136" s="212">
        <f t="shared" si="18"/>
        <v>4.1870000000000003</v>
      </c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12"/>
      <c r="AA136" s="212"/>
      <c r="AB136" s="212"/>
      <c r="AC136" s="196"/>
      <c r="AD136" s="27"/>
      <c r="AE136" s="213"/>
      <c r="AF136" s="212">
        <f t="shared" si="19"/>
        <v>-4.173357752048279E-2</v>
      </c>
      <c r="AG136" s="212"/>
      <c r="AH136" s="212"/>
      <c r="AI136" s="212"/>
      <c r="AJ136" s="212"/>
      <c r="AK136" s="212"/>
      <c r="AL136" s="212"/>
      <c r="AM136" s="212"/>
      <c r="AN136" s="212"/>
      <c r="AO136" s="212"/>
      <c r="AP136" s="196"/>
      <c r="AQ136" s="196"/>
      <c r="AR136" s="211"/>
      <c r="AS136" s="212">
        <f t="shared" si="11"/>
        <v>-1.3465609906025834E-3</v>
      </c>
      <c r="AT136" s="212">
        <f>[1]!LIM(AT135+Mode*r0*((1+IntegrationStep/2/Ti+Td/IntegrationStep)*AS136-(1-IntegrationStep/2/Ti+2*Td/IntegrationStep)*AS135+Td/IntegrationStep*AS134))</f>
        <v>0.39759916757399388</v>
      </c>
      <c r="AU136" s="212">
        <f t="shared" si="12"/>
        <v>40.794124671602574</v>
      </c>
      <c r="AW136" s="58"/>
      <c r="AX136" s="58"/>
      <c r="AY136" s="58"/>
      <c r="AZ136" s="58"/>
    </row>
    <row r="137" spans="1:52" s="185" customFormat="1" ht="15" customHeight="1" x14ac:dyDescent="0.25">
      <c r="A137" s="200"/>
      <c r="B137" s="211"/>
      <c r="C137" s="212">
        <f t="shared" si="13"/>
        <v>12.599999999999971</v>
      </c>
      <c r="D137" s="231">
        <f>15+[1]!STEPLOAD(5)</f>
        <v>20</v>
      </c>
      <c r="E137" s="212">
        <f t="shared" si="15"/>
        <v>40.924607412910781</v>
      </c>
      <c r="F137" s="212">
        <f t="shared" si="16"/>
        <v>0.5</v>
      </c>
      <c r="G137" s="212">
        <f>5</f>
        <v>5</v>
      </c>
      <c r="H137" s="212">
        <f t="shared" si="14"/>
        <v>47.727364309333296</v>
      </c>
      <c r="I137" s="212">
        <f t="shared" si="17"/>
        <v>0.9</v>
      </c>
      <c r="J137" s="212">
        <f>1</f>
        <v>1</v>
      </c>
      <c r="K137" s="212">
        <f t="shared" si="18"/>
        <v>4.1870000000000003</v>
      </c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212"/>
      <c r="AA137" s="212"/>
      <c r="AB137" s="212"/>
      <c r="AC137" s="196"/>
      <c r="AD137" s="27"/>
      <c r="AE137" s="213"/>
      <c r="AF137" s="212">
        <f t="shared" si="19"/>
        <v>-4.0651432554514422E-2</v>
      </c>
      <c r="AG137" s="212"/>
      <c r="AH137" s="212"/>
      <c r="AI137" s="212"/>
      <c r="AJ137" s="212"/>
      <c r="AK137" s="212"/>
      <c r="AL137" s="212"/>
      <c r="AM137" s="212"/>
      <c r="AN137" s="212"/>
      <c r="AO137" s="212"/>
      <c r="AP137" s="196"/>
      <c r="AQ137" s="196"/>
      <c r="AR137" s="211"/>
      <c r="AS137" s="212">
        <f t="shared" si="11"/>
        <v>-1.3048274130820659E-3</v>
      </c>
      <c r="AT137" s="212">
        <f>[1]!LIM(AT136+Mode*r0*((1+IntegrationStep/2/Ti+Td/IntegrationStep)*AS137-(1-IntegrationStep/2/Ti+2*Td/IntegrationStep)*AS136+Td/IntegrationStep*AS135))</f>
        <v>0.39772803591111078</v>
      </c>
      <c r="AU137" s="212">
        <f t="shared" si="12"/>
        <v>40.794124671602574</v>
      </c>
      <c r="AW137" s="58"/>
      <c r="AX137" s="58"/>
      <c r="AY137" s="58"/>
      <c r="AZ137" s="58"/>
    </row>
    <row r="138" spans="1:52" s="185" customFormat="1" ht="15" customHeight="1" x14ac:dyDescent="0.25">
      <c r="A138" s="200"/>
      <c r="B138" s="211"/>
      <c r="C138" s="212">
        <f t="shared" si="13"/>
        <v>12.699999999999971</v>
      </c>
      <c r="D138" s="231">
        <f>15+[1]!STEPLOAD(5)</f>
        <v>20</v>
      </c>
      <c r="E138" s="212">
        <f t="shared" si="15"/>
        <v>40.920542269655328</v>
      </c>
      <c r="F138" s="212">
        <f t="shared" si="16"/>
        <v>0.5</v>
      </c>
      <c r="G138" s="212">
        <f>5</f>
        <v>5</v>
      </c>
      <c r="H138" s="212">
        <f t="shared" si="14"/>
        <v>47.742734311575227</v>
      </c>
      <c r="I138" s="212">
        <f t="shared" si="17"/>
        <v>0.9</v>
      </c>
      <c r="J138" s="212">
        <f>1</f>
        <v>1</v>
      </c>
      <c r="K138" s="212">
        <f t="shared" si="18"/>
        <v>4.1870000000000003</v>
      </c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12"/>
      <c r="AA138" s="212"/>
      <c r="AB138" s="212"/>
      <c r="AC138" s="196"/>
      <c r="AD138" s="27"/>
      <c r="AE138" s="213"/>
      <c r="AF138" s="212">
        <f t="shared" si="19"/>
        <v>-3.9584158638917621E-2</v>
      </c>
      <c r="AG138" s="212"/>
      <c r="AH138" s="212"/>
      <c r="AI138" s="212"/>
      <c r="AJ138" s="212"/>
      <c r="AK138" s="212"/>
      <c r="AL138" s="212"/>
      <c r="AM138" s="212"/>
      <c r="AN138" s="212"/>
      <c r="AO138" s="212"/>
      <c r="AP138" s="196"/>
      <c r="AQ138" s="196"/>
      <c r="AR138" s="211"/>
      <c r="AS138" s="212">
        <f t="shared" si="11"/>
        <v>-1.2641759805275398E-3</v>
      </c>
      <c r="AT138" s="212">
        <f>[1]!LIM(AT137+Mode*r0*((1+IntegrationStep/2/Ti+Td/IntegrationStep)*AS138-(1-IntegrationStep/2/Ti+2*Td/IntegrationStep)*AS137+Td/IntegrationStep*AS136))</f>
        <v>0.39785611926312686</v>
      </c>
      <c r="AU138" s="212">
        <f t="shared" si="12"/>
        <v>40.794124671602574</v>
      </c>
      <c r="AW138" s="58"/>
      <c r="AX138" s="58"/>
      <c r="AY138" s="58"/>
      <c r="AZ138" s="58"/>
    </row>
    <row r="139" spans="1:52" s="185" customFormat="1" ht="15" customHeight="1" x14ac:dyDescent="0.25">
      <c r="A139" s="200"/>
      <c r="B139" s="211"/>
      <c r="C139" s="212">
        <f t="shared" si="13"/>
        <v>12.799999999999971</v>
      </c>
      <c r="D139" s="231">
        <f>15+[1]!STEPLOAD(5)</f>
        <v>20</v>
      </c>
      <c r="E139" s="212">
        <f t="shared" si="15"/>
        <v>40.916583853791437</v>
      </c>
      <c r="F139" s="212">
        <f t="shared" si="16"/>
        <v>0.5</v>
      </c>
      <c r="G139" s="212">
        <f>5</f>
        <v>5</v>
      </c>
      <c r="H139" s="212">
        <f t="shared" si="14"/>
        <v>47.757988521570908</v>
      </c>
      <c r="I139" s="212">
        <f t="shared" si="17"/>
        <v>0.9</v>
      </c>
      <c r="J139" s="212">
        <f>1</f>
        <v>1</v>
      </c>
      <c r="K139" s="212">
        <f t="shared" si="18"/>
        <v>4.1870000000000003</v>
      </c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212"/>
      <c r="AA139" s="212"/>
      <c r="AB139" s="212"/>
      <c r="AC139" s="196"/>
      <c r="AD139" s="27"/>
      <c r="AE139" s="213"/>
      <c r="AF139" s="212">
        <f t="shared" si="19"/>
        <v>-3.8532535395201961E-2</v>
      </c>
      <c r="AG139" s="212"/>
      <c r="AH139" s="212"/>
      <c r="AI139" s="212"/>
      <c r="AJ139" s="212"/>
      <c r="AK139" s="212"/>
      <c r="AL139" s="212"/>
      <c r="AM139" s="212"/>
      <c r="AN139" s="212"/>
      <c r="AO139" s="212"/>
      <c r="AP139" s="196"/>
      <c r="AQ139" s="196"/>
      <c r="AR139" s="211"/>
      <c r="AS139" s="212">
        <f t="shared" ref="AS139:AS202" si="20">(AU139-E139)/(MeasuredVariableHigher-MeasuredVariableLower)</f>
        <v>-1.224591821888623E-3</v>
      </c>
      <c r="AT139" s="212">
        <f>[1]!LIM(AT138+Mode*r0*((1+IntegrationStep/2/Ti+Td/IntegrationStep)*AS139-(1-IntegrationStep/2/Ti+2*Td/IntegrationStep)*AS138+Td/IntegrationStep*AS137))</f>
        <v>0.39798323767975757</v>
      </c>
      <c r="AU139" s="212">
        <f t="shared" ref="AU139:AU202" si="21">SetPoint</f>
        <v>40.794124671602574</v>
      </c>
      <c r="AW139" s="58"/>
      <c r="AX139" s="58"/>
      <c r="AY139" s="58"/>
      <c r="AZ139" s="58"/>
    </row>
    <row r="140" spans="1:52" s="185" customFormat="1" ht="15" customHeight="1" x14ac:dyDescent="0.25">
      <c r="A140" s="200"/>
      <c r="B140" s="211"/>
      <c r="C140" s="212">
        <f t="shared" ref="C140:C203" si="22">C139+IntegrationStep</f>
        <v>12.89999999999997</v>
      </c>
      <c r="D140" s="231">
        <f>15+[1]!STEPLOAD(5)</f>
        <v>20</v>
      </c>
      <c r="E140" s="212">
        <f t="shared" si="15"/>
        <v>40.912730600251919</v>
      </c>
      <c r="F140" s="212">
        <f t="shared" si="16"/>
        <v>0.5</v>
      </c>
      <c r="G140" s="212">
        <f>5</f>
        <v>5</v>
      </c>
      <c r="H140" s="212">
        <f t="shared" ref="H140:H203" si="23">ManipulatedVariableHigher*AT140</f>
        <v>47.773107435343633</v>
      </c>
      <c r="I140" s="212">
        <f t="shared" si="17"/>
        <v>0.9</v>
      </c>
      <c r="J140" s="212">
        <f>1</f>
        <v>1</v>
      </c>
      <c r="K140" s="212">
        <f t="shared" si="18"/>
        <v>4.1870000000000003</v>
      </c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12"/>
      <c r="AA140" s="212"/>
      <c r="AB140" s="212"/>
      <c r="AC140" s="196"/>
      <c r="AD140" s="27"/>
      <c r="AE140" s="213"/>
      <c r="AF140" s="212">
        <f t="shared" si="19"/>
        <v>-3.749724479666261E-2</v>
      </c>
      <c r="AG140" s="212"/>
      <c r="AH140" s="212"/>
      <c r="AI140" s="212"/>
      <c r="AJ140" s="212"/>
      <c r="AK140" s="212"/>
      <c r="AL140" s="212"/>
      <c r="AM140" s="212"/>
      <c r="AN140" s="212"/>
      <c r="AO140" s="212"/>
      <c r="AP140" s="196"/>
      <c r="AQ140" s="196"/>
      <c r="AR140" s="211"/>
      <c r="AS140" s="212">
        <f t="shared" si="20"/>
        <v>-1.1860592864934461E-3</v>
      </c>
      <c r="AT140" s="212">
        <f>[1]!LIM(AT139+Mode*r0*((1+IntegrationStep/2/Ti+Td/IntegrationStep)*AS140-(1-IntegrationStep/2/Ti+2*Td/IntegrationStep)*AS139+Td/IntegrationStep*AS138))</f>
        <v>0.39810922862786358</v>
      </c>
      <c r="AU140" s="212">
        <f t="shared" si="21"/>
        <v>40.794124671602574</v>
      </c>
      <c r="AW140" s="58"/>
      <c r="AX140" s="58"/>
      <c r="AY140" s="58"/>
      <c r="AZ140" s="58"/>
    </row>
    <row r="141" spans="1:52" s="185" customFormat="1" ht="15" customHeight="1" x14ac:dyDescent="0.25">
      <c r="A141" s="200"/>
      <c r="B141" s="211"/>
      <c r="C141" s="212">
        <f t="shared" si="22"/>
        <v>12.99999999999997</v>
      </c>
      <c r="D141" s="231">
        <f>15+[1]!STEPLOAD(5)</f>
        <v>20</v>
      </c>
      <c r="E141" s="212">
        <f t="shared" ref="E141:E204" si="24">E140+(C141-C140)*AF140</f>
        <v>40.908980875772251</v>
      </c>
      <c r="F141" s="212">
        <f t="shared" ref="F141:F204" si="25">0.5</f>
        <v>0.5</v>
      </c>
      <c r="G141" s="212">
        <f>5</f>
        <v>5</v>
      </c>
      <c r="H141" s="212">
        <f t="shared" si="23"/>
        <v>47.788073496093375</v>
      </c>
      <c r="I141" s="212">
        <f t="shared" ref="I141:I204" si="26">0.9</f>
        <v>0.9</v>
      </c>
      <c r="J141" s="212">
        <f>1</f>
        <v>1</v>
      </c>
      <c r="K141" s="212">
        <f t="shared" ref="K141:K204" si="27">4.187</f>
        <v>4.1870000000000003</v>
      </c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212"/>
      <c r="AA141" s="212"/>
      <c r="AB141" s="212"/>
      <c r="AC141" s="196"/>
      <c r="AD141" s="27"/>
      <c r="AE141" s="213"/>
      <c r="AF141" s="212">
        <f t="shared" ref="AF141:AF204" si="28">F141/G141*(D141-E141)+H141*I141/G141/J141/K141</f>
        <v>-3.6478878287326211E-2</v>
      </c>
      <c r="AG141" s="212"/>
      <c r="AH141" s="212"/>
      <c r="AI141" s="212"/>
      <c r="AJ141" s="212"/>
      <c r="AK141" s="212"/>
      <c r="AL141" s="212"/>
      <c r="AM141" s="212"/>
      <c r="AN141" s="212"/>
      <c r="AO141" s="212"/>
      <c r="AP141" s="196"/>
      <c r="AQ141" s="196"/>
      <c r="AR141" s="211"/>
      <c r="AS141" s="212">
        <f t="shared" si="20"/>
        <v>-1.1485620416967636E-3</v>
      </c>
      <c r="AT141" s="212">
        <f>[1]!LIM(AT140+Mode*r0*((1+IntegrationStep/2/Ti+Td/IntegrationStep)*AS141-(1-IntegrationStep/2/Ti+2*Td/IntegrationStep)*AS140+Td/IntegrationStep*AS139))</f>
        <v>0.39823394580077814</v>
      </c>
      <c r="AU141" s="212">
        <f t="shared" si="21"/>
        <v>40.794124671602574</v>
      </c>
      <c r="AW141" s="58"/>
      <c r="AX141" s="58"/>
      <c r="AY141" s="58"/>
      <c r="AZ141" s="58"/>
    </row>
    <row r="142" spans="1:52" s="185" customFormat="1" ht="15" customHeight="1" x14ac:dyDescent="0.25">
      <c r="A142" s="200"/>
      <c r="B142" s="211"/>
      <c r="C142" s="212">
        <f t="shared" si="22"/>
        <v>13.099999999999969</v>
      </c>
      <c r="D142" s="231">
        <f>15+[1]!STEPLOAD(5)</f>
        <v>20</v>
      </c>
      <c r="E142" s="212">
        <f t="shared" si="24"/>
        <v>40.905332987943517</v>
      </c>
      <c r="F142" s="212">
        <f t="shared" si="25"/>
        <v>0.5</v>
      </c>
      <c r="G142" s="212">
        <f>5</f>
        <v>5</v>
      </c>
      <c r="H142" s="212">
        <f t="shared" si="23"/>
        <v>47.802870959895699</v>
      </c>
      <c r="I142" s="212">
        <f t="shared" si="26"/>
        <v>0.9</v>
      </c>
      <c r="J142" s="212">
        <f>1</f>
        <v>1</v>
      </c>
      <c r="K142" s="212">
        <f t="shared" si="27"/>
        <v>4.1870000000000003</v>
      </c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12"/>
      <c r="AA142" s="212"/>
      <c r="AB142" s="212"/>
      <c r="AC142" s="196"/>
      <c r="AD142" s="27"/>
      <c r="AE142" s="213"/>
      <c r="AF142" s="212">
        <f t="shared" si="28"/>
        <v>-3.5477943460884731E-2</v>
      </c>
      <c r="AG142" s="212"/>
      <c r="AH142" s="212"/>
      <c r="AI142" s="212"/>
      <c r="AJ142" s="212"/>
      <c r="AK142" s="212"/>
      <c r="AL142" s="212"/>
      <c r="AM142" s="212"/>
      <c r="AN142" s="212"/>
      <c r="AO142" s="212"/>
      <c r="AP142" s="196"/>
      <c r="AQ142" s="196"/>
      <c r="AR142" s="211"/>
      <c r="AS142" s="212">
        <f t="shared" si="20"/>
        <v>-1.112083163409423E-3</v>
      </c>
      <c r="AT142" s="212">
        <f>[1]!LIM(AT141+Mode*r0*((1+IntegrationStep/2/Ti+Td/IntegrationStep)*AS142-(1-IntegrationStep/2/Ti+2*Td/IntegrationStep)*AS141+Td/IntegrationStep*AS140))</f>
        <v>0.39835725799913085</v>
      </c>
      <c r="AU142" s="212">
        <f t="shared" si="21"/>
        <v>40.794124671602574</v>
      </c>
      <c r="AW142" s="58"/>
      <c r="AX142" s="58"/>
      <c r="AY142" s="58"/>
      <c r="AZ142" s="58"/>
    </row>
    <row r="143" spans="1:52" s="185" customFormat="1" ht="15" customHeight="1" x14ac:dyDescent="0.25">
      <c r="A143" s="200"/>
      <c r="B143" s="211"/>
      <c r="C143" s="212">
        <f t="shared" si="22"/>
        <v>13.199999999999969</v>
      </c>
      <c r="D143" s="231">
        <f>15+[1]!STEPLOAD(5)</f>
        <v>20</v>
      </c>
      <c r="E143" s="212">
        <f t="shared" si="24"/>
        <v>40.901785193597426</v>
      </c>
      <c r="F143" s="212">
        <f t="shared" si="25"/>
        <v>0.5</v>
      </c>
      <c r="G143" s="212">
        <f>5</f>
        <v>5</v>
      </c>
      <c r="H143" s="212">
        <f t="shared" si="23"/>
        <v>47.817485769499775</v>
      </c>
      <c r="I143" s="212">
        <f t="shared" si="26"/>
        <v>0.9</v>
      </c>
      <c r="J143" s="212">
        <f>1</f>
        <v>1</v>
      </c>
      <c r="K143" s="212">
        <f t="shared" si="27"/>
        <v>4.1870000000000003</v>
      </c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212"/>
      <c r="AA143" s="212"/>
      <c r="AB143" s="212"/>
      <c r="AC143" s="196"/>
      <c r="AD143" s="27"/>
      <c r="AE143" s="213"/>
      <c r="AF143" s="212">
        <f t="shared" si="28"/>
        <v>-3.4494870324643934E-2</v>
      </c>
      <c r="AG143" s="212"/>
      <c r="AH143" s="212"/>
      <c r="AI143" s="212"/>
      <c r="AJ143" s="212"/>
      <c r="AK143" s="212"/>
      <c r="AL143" s="212"/>
      <c r="AM143" s="212"/>
      <c r="AN143" s="212"/>
      <c r="AO143" s="212"/>
      <c r="AP143" s="196"/>
      <c r="AQ143" s="196"/>
      <c r="AR143" s="211"/>
      <c r="AS143" s="212">
        <f t="shared" si="20"/>
        <v>-1.0766052199485188E-3</v>
      </c>
      <c r="AT143" s="212">
        <f>[1]!LIM(AT142+Mode*r0*((1+IntegrationStep/2/Ti+Td/IntegrationStep)*AS143-(1-IntegrationStep/2/Ti+2*Td/IntegrationStep)*AS142+Td/IntegrationStep*AS141))</f>
        <v>0.39847904807916479</v>
      </c>
      <c r="AU143" s="212">
        <f t="shared" si="21"/>
        <v>40.794124671602574</v>
      </c>
      <c r="AW143" s="58"/>
      <c r="AX143" s="58"/>
      <c r="AY143" s="58"/>
      <c r="AZ143" s="58"/>
    </row>
    <row r="144" spans="1:52" s="185" customFormat="1" ht="15" customHeight="1" x14ac:dyDescent="0.25">
      <c r="A144" s="200"/>
      <c r="B144" s="211"/>
      <c r="C144" s="212">
        <f t="shared" si="22"/>
        <v>13.299999999999969</v>
      </c>
      <c r="D144" s="231">
        <f>15+[1]!STEPLOAD(5)</f>
        <v>20</v>
      </c>
      <c r="E144" s="212">
        <f t="shared" si="24"/>
        <v>40.898335706564964</v>
      </c>
      <c r="F144" s="212">
        <f t="shared" si="25"/>
        <v>0.5</v>
      </c>
      <c r="G144" s="212">
        <f>5</f>
        <v>5</v>
      </c>
      <c r="H144" s="212">
        <f t="shared" si="23"/>
        <v>47.831905435768718</v>
      </c>
      <c r="I144" s="212">
        <f t="shared" si="26"/>
        <v>0.9</v>
      </c>
      <c r="J144" s="212">
        <f>1</f>
        <v>1</v>
      </c>
      <c r="K144" s="212">
        <f t="shared" si="27"/>
        <v>4.1870000000000003</v>
      </c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12"/>
      <c r="AA144" s="212"/>
      <c r="AB144" s="212"/>
      <c r="AC144" s="196"/>
      <c r="AD144" s="27"/>
      <c r="AE144" s="213"/>
      <c r="AF144" s="212">
        <f t="shared" si="28"/>
        <v>-3.3530017172290982E-2</v>
      </c>
      <c r="AG144" s="212"/>
      <c r="AH144" s="212"/>
      <c r="AI144" s="212"/>
      <c r="AJ144" s="212"/>
      <c r="AK144" s="212"/>
      <c r="AL144" s="212"/>
      <c r="AM144" s="212"/>
      <c r="AN144" s="212"/>
      <c r="AO144" s="212"/>
      <c r="AP144" s="196"/>
      <c r="AQ144" s="196"/>
      <c r="AR144" s="211"/>
      <c r="AS144" s="212">
        <f t="shared" si="20"/>
        <v>-1.0421103496238971E-3</v>
      </c>
      <c r="AT144" s="212">
        <f>[1]!LIM(AT143+Mode*r0*((1+IntegrationStep/2/Ti+Td/IntegrationStep)*AS144-(1-IntegrationStep/2/Ti+2*Td/IntegrationStep)*AS143+Td/IntegrationStep*AS142))</f>
        <v>0.3985992119647393</v>
      </c>
      <c r="AU144" s="212">
        <f t="shared" si="21"/>
        <v>40.794124671602574</v>
      </c>
      <c r="AW144" s="58"/>
      <c r="AX144" s="58"/>
      <c r="AY144" s="58"/>
      <c r="AZ144" s="58"/>
    </row>
    <row r="145" spans="1:52" s="185" customFormat="1" ht="15" customHeight="1" x14ac:dyDescent="0.25">
      <c r="A145" s="200"/>
      <c r="B145" s="211"/>
      <c r="C145" s="212">
        <f t="shared" si="22"/>
        <v>13.399999999999968</v>
      </c>
      <c r="D145" s="231">
        <f>15+[1]!STEPLOAD(5)</f>
        <v>20</v>
      </c>
      <c r="E145" s="212">
        <f t="shared" si="24"/>
        <v>40.894982704847735</v>
      </c>
      <c r="F145" s="212">
        <f t="shared" si="25"/>
        <v>0.5</v>
      </c>
      <c r="G145" s="212">
        <f>5</f>
        <v>5</v>
      </c>
      <c r="H145" s="212">
        <f t="shared" si="23"/>
        <v>47.846118926332146</v>
      </c>
      <c r="I145" s="212">
        <f t="shared" si="26"/>
        <v>0.9</v>
      </c>
      <c r="J145" s="212">
        <f>1</f>
        <v>1</v>
      </c>
      <c r="K145" s="212">
        <f t="shared" si="27"/>
        <v>4.1870000000000003</v>
      </c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212"/>
      <c r="AA145" s="212"/>
      <c r="AB145" s="212"/>
      <c r="AC145" s="196"/>
      <c r="AD145" s="27"/>
      <c r="AE145" s="213"/>
      <c r="AF145" s="212">
        <f t="shared" si="28"/>
        <v>-3.258367608788193E-2</v>
      </c>
      <c r="AG145" s="212"/>
      <c r="AH145" s="212"/>
      <c r="AI145" s="212"/>
      <c r="AJ145" s="212"/>
      <c r="AK145" s="212"/>
      <c r="AL145" s="212"/>
      <c r="AM145" s="212"/>
      <c r="AN145" s="212"/>
      <c r="AO145" s="212"/>
      <c r="AP145" s="196"/>
      <c r="AQ145" s="196"/>
      <c r="AR145" s="211"/>
      <c r="AS145" s="212">
        <f t="shared" si="20"/>
        <v>-1.0085803324516008E-3</v>
      </c>
      <c r="AT145" s="212">
        <f>[1]!LIM(AT144+Mode*r0*((1+IntegrationStep/2/Ti+Td/IntegrationStep)*AS145-(1-IntegrationStep/2/Ti+2*Td/IntegrationStep)*AS144+Td/IntegrationStep*AS143))</f>
        <v>0.39871765771943457</v>
      </c>
      <c r="AU145" s="212">
        <f t="shared" si="21"/>
        <v>40.794124671602574</v>
      </c>
      <c r="AW145" s="58"/>
      <c r="AX145" s="58"/>
      <c r="AY145" s="58"/>
      <c r="AZ145" s="58"/>
    </row>
    <row r="146" spans="1:52" s="185" customFormat="1" ht="15" customHeight="1" x14ac:dyDescent="0.25">
      <c r="A146" s="200"/>
      <c r="B146" s="211"/>
      <c r="C146" s="212">
        <f t="shared" si="22"/>
        <v>13.499999999999968</v>
      </c>
      <c r="D146" s="231">
        <f>15+[1]!STEPLOAD(5)</f>
        <v>20</v>
      </c>
      <c r="E146" s="212">
        <f t="shared" si="24"/>
        <v>40.891724337238948</v>
      </c>
      <c r="F146" s="212">
        <f t="shared" si="25"/>
        <v>0.5</v>
      </c>
      <c r="G146" s="212">
        <f>5</f>
        <v>5</v>
      </c>
      <c r="H146" s="212">
        <f t="shared" si="23"/>
        <v>47.860116561041963</v>
      </c>
      <c r="I146" s="212">
        <f t="shared" si="26"/>
        <v>0.9</v>
      </c>
      <c r="J146" s="212">
        <f>1</f>
        <v>1</v>
      </c>
      <c r="K146" s="212">
        <f t="shared" si="27"/>
        <v>4.1870000000000003</v>
      </c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196"/>
      <c r="AD146" s="27"/>
      <c r="AE146" s="213"/>
      <c r="AF146" s="212">
        <f t="shared" si="28"/>
        <v>-3.1656078102315632E-2</v>
      </c>
      <c r="AG146" s="212"/>
      <c r="AH146" s="212"/>
      <c r="AI146" s="212"/>
      <c r="AJ146" s="212"/>
      <c r="AK146" s="212"/>
      <c r="AL146" s="212"/>
      <c r="AM146" s="212"/>
      <c r="AN146" s="212"/>
      <c r="AO146" s="212"/>
      <c r="AP146" s="196"/>
      <c r="AQ146" s="196"/>
      <c r="AR146" s="211"/>
      <c r="AS146" s="212">
        <f t="shared" si="20"/>
        <v>-9.7599665636373346E-4</v>
      </c>
      <c r="AT146" s="212">
        <f>[1]!LIM(AT145+Mode*r0*((1+IntegrationStep/2/Ti+Td/IntegrationStep)*AS146-(1-IntegrationStep/2/Ti+2*Td/IntegrationStep)*AS145+Td/IntegrationStep*AS144))</f>
        <v>0.39883430467534969</v>
      </c>
      <c r="AU146" s="212">
        <f t="shared" si="21"/>
        <v>40.794124671602574</v>
      </c>
      <c r="AW146" s="58"/>
      <c r="AX146" s="58"/>
      <c r="AY146" s="58"/>
      <c r="AZ146" s="58"/>
    </row>
    <row r="147" spans="1:52" s="185" customFormat="1" ht="15" customHeight="1" x14ac:dyDescent="0.25">
      <c r="A147" s="200"/>
      <c r="B147" s="211"/>
      <c r="C147" s="212">
        <f t="shared" si="22"/>
        <v>13.599999999999968</v>
      </c>
      <c r="D147" s="231">
        <f>15+[1]!STEPLOAD(5)</f>
        <v>20</v>
      </c>
      <c r="E147" s="212">
        <f t="shared" si="24"/>
        <v>40.888558729428716</v>
      </c>
      <c r="F147" s="212">
        <f t="shared" si="25"/>
        <v>0.5</v>
      </c>
      <c r="G147" s="212">
        <f>5</f>
        <v>5</v>
      </c>
      <c r="H147" s="212">
        <f t="shared" si="23"/>
        <v>47.873889913847066</v>
      </c>
      <c r="I147" s="212">
        <f t="shared" si="26"/>
        <v>0.9</v>
      </c>
      <c r="J147" s="212">
        <f>1</f>
        <v>1</v>
      </c>
      <c r="K147" s="212">
        <f t="shared" si="27"/>
        <v>4.1870000000000003</v>
      </c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212"/>
      <c r="AA147" s="212"/>
      <c r="AB147" s="212"/>
      <c r="AC147" s="196"/>
      <c r="AD147" s="27"/>
      <c r="AE147" s="213"/>
      <c r="AF147" s="212">
        <f t="shared" si="28"/>
        <v>-3.0747398022290984E-2</v>
      </c>
      <c r="AG147" s="212"/>
      <c r="AH147" s="212"/>
      <c r="AI147" s="212"/>
      <c r="AJ147" s="212"/>
      <c r="AK147" s="212"/>
      <c r="AL147" s="212"/>
      <c r="AM147" s="212"/>
      <c r="AN147" s="212"/>
      <c r="AO147" s="212"/>
      <c r="AP147" s="196"/>
      <c r="AQ147" s="196"/>
      <c r="AR147" s="211"/>
      <c r="AS147" s="212">
        <f t="shared" si="20"/>
        <v>-9.4434057826141781E-4</v>
      </c>
      <c r="AT147" s="212">
        <f>[1]!LIM(AT146+Mode*r0*((1+IntegrationStep/2/Ti+Td/IntegrationStep)*AS147-(1-IntegrationStep/2/Ti+2*Td/IntegrationStep)*AS146+Td/IntegrationStep*AS145))</f>
        <v>0.39894908261539219</v>
      </c>
      <c r="AU147" s="212">
        <f t="shared" si="21"/>
        <v>40.794124671602574</v>
      </c>
      <c r="AW147" s="58"/>
      <c r="AX147" s="58"/>
      <c r="AY147" s="58"/>
      <c r="AZ147" s="58"/>
    </row>
    <row r="148" spans="1:52" s="185" customFormat="1" ht="15" customHeight="1" x14ac:dyDescent="0.25">
      <c r="A148" s="200"/>
      <c r="B148" s="211"/>
      <c r="C148" s="212">
        <f t="shared" si="22"/>
        <v>13.699999999999967</v>
      </c>
      <c r="D148" s="231">
        <f>15+[1]!STEPLOAD(5)</f>
        <v>20</v>
      </c>
      <c r="E148" s="212">
        <f t="shared" si="24"/>
        <v>40.885483989626486</v>
      </c>
      <c r="F148" s="212">
        <f t="shared" si="25"/>
        <v>0.5</v>
      </c>
      <c r="G148" s="212">
        <f>5</f>
        <v>5</v>
      </c>
      <c r="H148" s="212">
        <f t="shared" si="23"/>
        <v>47.88743172072094</v>
      </c>
      <c r="I148" s="212">
        <f t="shared" si="26"/>
        <v>0.9</v>
      </c>
      <c r="J148" s="212">
        <f>1</f>
        <v>1</v>
      </c>
      <c r="K148" s="212">
        <f t="shared" si="27"/>
        <v>4.1870000000000003</v>
      </c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196"/>
      <c r="AD148" s="27"/>
      <c r="AE148" s="213"/>
      <c r="AF148" s="212">
        <f t="shared" si="28"/>
        <v>-2.9857758950762037E-2</v>
      </c>
      <c r="AG148" s="212"/>
      <c r="AH148" s="212"/>
      <c r="AI148" s="212"/>
      <c r="AJ148" s="212"/>
      <c r="AK148" s="212"/>
      <c r="AL148" s="212"/>
      <c r="AM148" s="212"/>
      <c r="AN148" s="212"/>
      <c r="AO148" s="212"/>
      <c r="AP148" s="196"/>
      <c r="AQ148" s="196"/>
      <c r="AR148" s="211"/>
      <c r="AS148" s="212">
        <f t="shared" si="20"/>
        <v>-9.1359318023911842E-4</v>
      </c>
      <c r="AT148" s="212">
        <f>[1]!LIM(AT147+Mode*r0*((1+IntegrationStep/2/Ti+Td/IntegrationStep)*AS148-(1-IntegrationStep/2/Ti+2*Td/IntegrationStep)*AS147+Td/IntegrationStep*AS146))</f>
        <v>0.39906193100600784</v>
      </c>
      <c r="AU148" s="212">
        <f t="shared" si="21"/>
        <v>40.794124671602574</v>
      </c>
      <c r="AW148" s="58"/>
      <c r="AX148" s="58"/>
      <c r="AY148" s="58"/>
      <c r="AZ148" s="58"/>
    </row>
    <row r="149" spans="1:52" s="185" customFormat="1" ht="15" customHeight="1" x14ac:dyDescent="0.25">
      <c r="A149" s="200"/>
      <c r="B149" s="211"/>
      <c r="C149" s="212">
        <f t="shared" si="22"/>
        <v>13.799999999999967</v>
      </c>
      <c r="D149" s="231">
        <f>15+[1]!STEPLOAD(5)</f>
        <v>20</v>
      </c>
      <c r="E149" s="212">
        <f t="shared" si="24"/>
        <v>40.882498213731409</v>
      </c>
      <c r="F149" s="212">
        <f t="shared" si="25"/>
        <v>0.5</v>
      </c>
      <c r="G149" s="212">
        <f>5</f>
        <v>5</v>
      </c>
      <c r="H149" s="212">
        <f t="shared" si="23"/>
        <v>47.900735793297955</v>
      </c>
      <c r="I149" s="212">
        <f t="shared" si="26"/>
        <v>0.9</v>
      </c>
      <c r="J149" s="212">
        <f>1</f>
        <v>1</v>
      </c>
      <c r="K149" s="212">
        <f t="shared" si="27"/>
        <v>4.1870000000000003</v>
      </c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212"/>
      <c r="AC149" s="196"/>
      <c r="AD149" s="27"/>
      <c r="AE149" s="213"/>
      <c r="AF149" s="212">
        <f t="shared" si="28"/>
        <v>-2.8987236516768711E-2</v>
      </c>
      <c r="AG149" s="212"/>
      <c r="AH149" s="212"/>
      <c r="AI149" s="212"/>
      <c r="AJ149" s="212"/>
      <c r="AK149" s="212"/>
      <c r="AL149" s="212"/>
      <c r="AM149" s="212"/>
      <c r="AN149" s="212"/>
      <c r="AO149" s="212"/>
      <c r="AP149" s="196"/>
      <c r="AQ149" s="196"/>
      <c r="AR149" s="211"/>
      <c r="AS149" s="212">
        <f t="shared" si="20"/>
        <v>-8.8373542128834966E-4</v>
      </c>
      <c r="AT149" s="212">
        <f>[1]!LIM(AT148+Mode*r0*((1+IntegrationStep/2/Ti+Td/IntegrationStep)*AS149-(1-IntegrationStep/2/Ti+2*Td/IntegrationStep)*AS148+Td/IntegrationStep*AS147))</f>
        <v>0.39917279827748298</v>
      </c>
      <c r="AU149" s="212">
        <f t="shared" si="21"/>
        <v>40.794124671602574</v>
      </c>
      <c r="AW149" s="58"/>
      <c r="AX149" s="58"/>
      <c r="AY149" s="58"/>
      <c r="AZ149" s="58"/>
    </row>
    <row r="150" spans="1:52" s="185" customFormat="1" ht="15" customHeight="1" x14ac:dyDescent="0.25">
      <c r="A150" s="200"/>
      <c r="B150" s="211"/>
      <c r="C150" s="212">
        <f t="shared" si="22"/>
        <v>13.899999999999967</v>
      </c>
      <c r="D150" s="231">
        <f>15+[1]!STEPLOAD(5)</f>
        <v>20</v>
      </c>
      <c r="E150" s="212">
        <f t="shared" si="24"/>
        <v>40.879599490079734</v>
      </c>
      <c r="F150" s="212">
        <f t="shared" si="25"/>
        <v>0.5</v>
      </c>
      <c r="G150" s="212">
        <f>5</f>
        <v>5</v>
      </c>
      <c r="H150" s="212">
        <f t="shared" si="23"/>
        <v>47.913796937891767</v>
      </c>
      <c r="I150" s="212">
        <f t="shared" si="26"/>
        <v>0.9</v>
      </c>
      <c r="J150" s="212">
        <f>1</f>
        <v>1</v>
      </c>
      <c r="K150" s="212">
        <f t="shared" si="27"/>
        <v>4.1870000000000003</v>
      </c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196"/>
      <c r="AD150" s="27"/>
      <c r="AE150" s="213"/>
      <c r="AF150" s="212">
        <f t="shared" si="28"/>
        <v>-2.8135862831589975E-2</v>
      </c>
      <c r="AG150" s="212"/>
      <c r="AH150" s="212"/>
      <c r="AI150" s="212"/>
      <c r="AJ150" s="212"/>
      <c r="AK150" s="212"/>
      <c r="AL150" s="212"/>
      <c r="AM150" s="212"/>
      <c r="AN150" s="212"/>
      <c r="AO150" s="212"/>
      <c r="AP150" s="196"/>
      <c r="AQ150" s="196"/>
      <c r="AR150" s="211"/>
      <c r="AS150" s="212">
        <f t="shared" si="20"/>
        <v>-8.547481847715943E-4</v>
      </c>
      <c r="AT150" s="212">
        <f>[1]!LIM(AT149+Mode*r0*((1+IntegrationStep/2/Ti+Td/IntegrationStep)*AS150-(1-IntegrationStep/2/Ti+2*Td/IntegrationStep)*AS149+Td/IntegrationStep*AS148))</f>
        <v>0.39928164114909809</v>
      </c>
      <c r="AU150" s="212">
        <f t="shared" si="21"/>
        <v>40.794124671602574</v>
      </c>
      <c r="AW150" s="58"/>
      <c r="AX150" s="58"/>
      <c r="AY150" s="58"/>
      <c r="AZ150" s="58"/>
    </row>
    <row r="151" spans="1:52" s="185" customFormat="1" ht="15" customHeight="1" x14ac:dyDescent="0.25">
      <c r="A151" s="200"/>
      <c r="B151" s="211"/>
      <c r="C151" s="212">
        <f t="shared" si="22"/>
        <v>13.999999999999966</v>
      </c>
      <c r="D151" s="231">
        <f>15+[1]!STEPLOAD(5)</f>
        <v>20</v>
      </c>
      <c r="E151" s="212">
        <f t="shared" si="24"/>
        <v>40.876785903796574</v>
      </c>
      <c r="F151" s="212">
        <f t="shared" si="25"/>
        <v>0.5</v>
      </c>
      <c r="G151" s="212">
        <f>5</f>
        <v>5</v>
      </c>
      <c r="H151" s="212">
        <f t="shared" si="23"/>
        <v>47.926610879587642</v>
      </c>
      <c r="I151" s="212">
        <f t="shared" si="26"/>
        <v>0.9</v>
      </c>
      <c r="J151" s="212">
        <f>1</f>
        <v>1</v>
      </c>
      <c r="K151" s="212">
        <f t="shared" si="27"/>
        <v>4.1870000000000003</v>
      </c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196"/>
      <c r="AD151" s="27"/>
      <c r="AE151" s="213"/>
      <c r="AF151" s="212">
        <f t="shared" si="28"/>
        <v>-2.730363018721027E-2</v>
      </c>
      <c r="AG151" s="212"/>
      <c r="AH151" s="212"/>
      <c r="AI151" s="212"/>
      <c r="AJ151" s="212"/>
      <c r="AK151" s="212"/>
      <c r="AL151" s="212"/>
      <c r="AM151" s="212"/>
      <c r="AN151" s="212"/>
      <c r="AO151" s="212"/>
      <c r="AP151" s="196"/>
      <c r="AQ151" s="196"/>
      <c r="AR151" s="211"/>
      <c r="AS151" s="212">
        <f t="shared" si="20"/>
        <v>-8.2661232193999008E-4</v>
      </c>
      <c r="AT151" s="212">
        <f>[1]!LIM(AT150+Mode*r0*((1+IntegrationStep/2/Ti+Td/IntegrationStep)*AS151-(1-IntegrationStep/2/Ti+2*Td/IntegrationStep)*AS150+Td/IntegrationStep*AS149))</f>
        <v>0.39938842399656371</v>
      </c>
      <c r="AU151" s="212">
        <f t="shared" si="21"/>
        <v>40.794124671602574</v>
      </c>
      <c r="AW151" s="58"/>
      <c r="AX151" s="58"/>
      <c r="AY151" s="58"/>
      <c r="AZ151" s="58"/>
    </row>
    <row r="152" spans="1:52" s="185" customFormat="1" ht="15" customHeight="1" x14ac:dyDescent="0.25">
      <c r="A152" s="200"/>
      <c r="B152" s="211"/>
      <c r="C152" s="212">
        <f t="shared" si="22"/>
        <v>14.099999999999966</v>
      </c>
      <c r="D152" s="231">
        <f>15+[1]!STEPLOAD(5)</f>
        <v>20</v>
      </c>
      <c r="E152" s="212">
        <f t="shared" si="24"/>
        <v>40.874055540777853</v>
      </c>
      <c r="F152" s="212">
        <f t="shared" si="25"/>
        <v>0.5</v>
      </c>
      <c r="G152" s="212">
        <f>5</f>
        <v>5</v>
      </c>
      <c r="H152" s="212">
        <f t="shared" si="23"/>
        <v>47.939174191116528</v>
      </c>
      <c r="I152" s="212">
        <f t="shared" si="26"/>
        <v>0.9</v>
      </c>
      <c r="J152" s="212">
        <f>1</f>
        <v>1</v>
      </c>
      <c r="K152" s="212">
        <f t="shared" si="27"/>
        <v>4.1870000000000003</v>
      </c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212"/>
      <c r="AA152" s="212"/>
      <c r="AB152" s="212"/>
      <c r="AC152" s="196"/>
      <c r="AD152" s="27"/>
      <c r="AE152" s="213"/>
      <c r="AF152" s="212">
        <f t="shared" si="28"/>
        <v>-2.6490494512231511E-2</v>
      </c>
      <c r="AG152" s="212"/>
      <c r="AH152" s="212"/>
      <c r="AI152" s="212"/>
      <c r="AJ152" s="212"/>
      <c r="AK152" s="212"/>
      <c r="AL152" s="212"/>
      <c r="AM152" s="212"/>
      <c r="AN152" s="212"/>
      <c r="AO152" s="212"/>
      <c r="AP152" s="196"/>
      <c r="AQ152" s="196"/>
      <c r="AR152" s="211"/>
      <c r="AS152" s="212">
        <f t="shared" si="20"/>
        <v>-7.993086917527847E-4</v>
      </c>
      <c r="AT152" s="212">
        <f>[1]!LIM(AT151+Mode*r0*((1+IntegrationStep/2/Ti+Td/IntegrationStep)*AS152-(1-IntegrationStep/2/Ti+2*Td/IntegrationStep)*AS151+Td/IntegrationStep*AS150))</f>
        <v>0.39949311825930439</v>
      </c>
      <c r="AU152" s="212">
        <f t="shared" si="21"/>
        <v>40.794124671602574</v>
      </c>
      <c r="AW152" s="58"/>
      <c r="AX152" s="58"/>
      <c r="AY152" s="58"/>
      <c r="AZ152" s="58"/>
    </row>
    <row r="153" spans="1:52" s="185" customFormat="1" ht="15" customHeight="1" x14ac:dyDescent="0.25">
      <c r="A153" s="200"/>
      <c r="B153" s="211"/>
      <c r="C153" s="212">
        <f t="shared" si="22"/>
        <v>14.199999999999966</v>
      </c>
      <c r="D153" s="231">
        <f>15+[1]!STEPLOAD(5)</f>
        <v>20</v>
      </c>
      <c r="E153" s="212">
        <f t="shared" si="24"/>
        <v>40.871406491326631</v>
      </c>
      <c r="F153" s="212">
        <f t="shared" si="25"/>
        <v>0.5</v>
      </c>
      <c r="G153" s="212">
        <f>5</f>
        <v>5</v>
      </c>
      <c r="H153" s="212">
        <f t="shared" si="23"/>
        <v>47.951484226236168</v>
      </c>
      <c r="I153" s="212">
        <f t="shared" si="26"/>
        <v>0.9</v>
      </c>
      <c r="J153" s="212">
        <f>1</f>
        <v>1</v>
      </c>
      <c r="K153" s="212">
        <f t="shared" si="27"/>
        <v>4.1870000000000003</v>
      </c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196"/>
      <c r="AD153" s="27"/>
      <c r="AE153" s="213"/>
      <c r="AF153" s="212">
        <f t="shared" si="28"/>
        <v>-2.5696378599463277E-2</v>
      </c>
      <c r="AG153" s="212"/>
      <c r="AH153" s="212"/>
      <c r="AI153" s="212"/>
      <c r="AJ153" s="212"/>
      <c r="AK153" s="212"/>
      <c r="AL153" s="212"/>
      <c r="AM153" s="212"/>
      <c r="AN153" s="212"/>
      <c r="AO153" s="212"/>
      <c r="AP153" s="196"/>
      <c r="AQ153" s="196"/>
      <c r="AR153" s="211"/>
      <c r="AS153" s="212">
        <f t="shared" si="20"/>
        <v>-7.7281819724056783E-4</v>
      </c>
      <c r="AT153" s="212">
        <f>[1]!LIM(AT152+Mode*r0*((1+IntegrationStep/2/Ti+Td/IntegrationStep)*AS153-(1-IntegrationStep/2/Ti+2*Td/IntegrationStep)*AS152+Td/IntegrationStep*AS151))</f>
        <v>0.39959570188530141</v>
      </c>
      <c r="AU153" s="212">
        <f t="shared" si="21"/>
        <v>40.794124671602574</v>
      </c>
      <c r="AW153" s="58"/>
      <c r="AX153" s="58"/>
      <c r="AY153" s="58"/>
      <c r="AZ153" s="58"/>
    </row>
    <row r="154" spans="1:52" s="185" customFormat="1" ht="15" customHeight="1" x14ac:dyDescent="0.25">
      <c r="A154" s="200"/>
      <c r="B154" s="211"/>
      <c r="C154" s="212">
        <f t="shared" si="22"/>
        <v>14.299999999999965</v>
      </c>
      <c r="D154" s="231">
        <f>15+[1]!STEPLOAD(5)</f>
        <v>20</v>
      </c>
      <c r="E154" s="212">
        <f t="shared" si="24"/>
        <v>40.868836853466682</v>
      </c>
      <c r="F154" s="212">
        <f t="shared" si="25"/>
        <v>0.5</v>
      </c>
      <c r="G154" s="212">
        <f>5</f>
        <v>5</v>
      </c>
      <c r="H154" s="212">
        <f t="shared" si="23"/>
        <v>47.96353905735792</v>
      </c>
      <c r="I154" s="212">
        <f t="shared" si="26"/>
        <v>0.9</v>
      </c>
      <c r="J154" s="212">
        <f>1</f>
        <v>1</v>
      </c>
      <c r="K154" s="212">
        <f t="shared" si="27"/>
        <v>4.1870000000000003</v>
      </c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212"/>
      <c r="AA154" s="212"/>
      <c r="AB154" s="212"/>
      <c r="AC154" s="196"/>
      <c r="AD154" s="27"/>
      <c r="AE154" s="213"/>
      <c r="AF154" s="212">
        <f t="shared" si="28"/>
        <v>-2.4921175118718164E-2</v>
      </c>
      <c r="AG154" s="212"/>
      <c r="AH154" s="212"/>
      <c r="AI154" s="212"/>
      <c r="AJ154" s="212"/>
      <c r="AK154" s="212"/>
      <c r="AL154" s="212"/>
      <c r="AM154" s="212"/>
      <c r="AN154" s="212"/>
      <c r="AO154" s="212"/>
      <c r="AP154" s="196"/>
      <c r="AQ154" s="196"/>
      <c r="AR154" s="211"/>
      <c r="AS154" s="212">
        <f t="shared" si="20"/>
        <v>-7.4712181864107659E-4</v>
      </c>
      <c r="AT154" s="212">
        <f>[1]!LIM(AT153+Mode*r0*((1+IntegrationStep/2/Ti+Td/IntegrationStep)*AS154-(1-IntegrationStep/2/Ti+2*Td/IntegrationStep)*AS153+Td/IntegrationStep*AS152))</f>
        <v>0.39969615881131598</v>
      </c>
      <c r="AU154" s="212">
        <f t="shared" si="21"/>
        <v>40.794124671602574</v>
      </c>
      <c r="AW154" s="58"/>
      <c r="AX154" s="58"/>
      <c r="AY154" s="58"/>
      <c r="AZ154" s="58"/>
    </row>
    <row r="155" spans="1:52" s="185" customFormat="1" ht="15" customHeight="1" x14ac:dyDescent="0.25">
      <c r="A155" s="200"/>
      <c r="B155" s="211"/>
      <c r="C155" s="212">
        <f t="shared" si="22"/>
        <v>14.399999999999965</v>
      </c>
      <c r="D155" s="231">
        <f>15+[1]!STEPLOAD(5)</f>
        <v>20</v>
      </c>
      <c r="E155" s="212">
        <f t="shared" si="24"/>
        <v>40.866344735954812</v>
      </c>
      <c r="F155" s="212">
        <f t="shared" si="25"/>
        <v>0.5</v>
      </c>
      <c r="G155" s="212">
        <f>5</f>
        <v>5</v>
      </c>
      <c r="H155" s="212">
        <f t="shared" si="23"/>
        <v>47.975337417172916</v>
      </c>
      <c r="I155" s="212">
        <f t="shared" si="26"/>
        <v>0.9</v>
      </c>
      <c r="J155" s="212">
        <f>1</f>
        <v>1</v>
      </c>
      <c r="K155" s="212">
        <f t="shared" si="27"/>
        <v>4.1870000000000003</v>
      </c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212"/>
      <c r="AA155" s="212"/>
      <c r="AB155" s="212"/>
      <c r="AC155" s="196"/>
      <c r="AD155" s="27"/>
      <c r="AE155" s="213"/>
      <c r="AF155" s="212">
        <f t="shared" si="28"/>
        <v>-2.4164749427550536E-2</v>
      </c>
      <c r="AG155" s="212"/>
      <c r="AH155" s="212"/>
      <c r="AI155" s="212"/>
      <c r="AJ155" s="212"/>
      <c r="AK155" s="212"/>
      <c r="AL155" s="212"/>
      <c r="AM155" s="212"/>
      <c r="AN155" s="212"/>
      <c r="AO155" s="212"/>
      <c r="AP155" s="196"/>
      <c r="AQ155" s="196"/>
      <c r="AR155" s="211"/>
      <c r="AS155" s="212">
        <f t="shared" si="20"/>
        <v>-7.2220064352237047E-4</v>
      </c>
      <c r="AT155" s="212">
        <f>[1]!LIM(AT154+Mode*r0*((1+IntegrationStep/2/Ti+Td/IntegrationStep)*AS155-(1-IntegrationStep/2/Ti+2*Td/IntegrationStep)*AS154+Td/IntegrationStep*AS153))</f>
        <v>0.39979447847644095</v>
      </c>
      <c r="AU155" s="212">
        <f t="shared" si="21"/>
        <v>40.794124671602574</v>
      </c>
      <c r="AW155" s="58"/>
      <c r="AX155" s="58"/>
      <c r="AY155" s="58"/>
      <c r="AZ155" s="58"/>
    </row>
    <row r="156" spans="1:52" s="185" customFormat="1" ht="15" customHeight="1" x14ac:dyDescent="0.25">
      <c r="A156" s="200"/>
      <c r="B156" s="211"/>
      <c r="C156" s="212">
        <f t="shared" si="22"/>
        <v>14.499999999999964</v>
      </c>
      <c r="D156" s="231">
        <f>15+[1]!STEPLOAD(5)</f>
        <v>20</v>
      </c>
      <c r="E156" s="212">
        <f t="shared" si="24"/>
        <v>40.863928261012056</v>
      </c>
      <c r="F156" s="212">
        <f t="shared" si="25"/>
        <v>0.5</v>
      </c>
      <c r="G156" s="212">
        <f>5</f>
        <v>5</v>
      </c>
      <c r="H156" s="212">
        <f t="shared" si="23"/>
        <v>47.986878644046122</v>
      </c>
      <c r="I156" s="212">
        <f t="shared" si="26"/>
        <v>0.9</v>
      </c>
      <c r="J156" s="212">
        <f>1</f>
        <v>1</v>
      </c>
      <c r="K156" s="212">
        <f t="shared" si="27"/>
        <v>4.1870000000000003</v>
      </c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212"/>
      <c r="AA156" s="212"/>
      <c r="AB156" s="212"/>
      <c r="AC156" s="196"/>
      <c r="AD156" s="27"/>
      <c r="AE156" s="213"/>
      <c r="AF156" s="212">
        <f t="shared" si="28"/>
        <v>-2.3426942191890898E-2</v>
      </c>
      <c r="AG156" s="212"/>
      <c r="AH156" s="212"/>
      <c r="AI156" s="212"/>
      <c r="AJ156" s="212"/>
      <c r="AK156" s="212"/>
      <c r="AL156" s="212"/>
      <c r="AM156" s="212"/>
      <c r="AN156" s="212"/>
      <c r="AO156" s="212"/>
      <c r="AP156" s="196"/>
      <c r="AQ156" s="196"/>
      <c r="AR156" s="211"/>
      <c r="AS156" s="212">
        <f t="shared" si="20"/>
        <v>-6.9803589409481507E-4</v>
      </c>
      <c r="AT156" s="212">
        <f>[1]!LIM(AT155+Mode*r0*((1+IntegrationStep/2/Ti+Td/IntegrationStep)*AS156-(1-IntegrationStep/2/Ti+2*Td/IntegrationStep)*AS155+Td/IntegrationStep*AS154))</f>
        <v>0.39989065536705104</v>
      </c>
      <c r="AU156" s="212">
        <f t="shared" si="21"/>
        <v>40.794124671602574</v>
      </c>
      <c r="AW156" s="58"/>
      <c r="AX156" s="58"/>
      <c r="AY156" s="58"/>
      <c r="AZ156" s="58"/>
    </row>
    <row r="157" spans="1:52" s="185" customFormat="1" ht="15" customHeight="1" x14ac:dyDescent="0.25">
      <c r="A157" s="200"/>
      <c r="B157" s="211"/>
      <c r="C157" s="212">
        <f t="shared" si="22"/>
        <v>14.599999999999964</v>
      </c>
      <c r="D157" s="231">
        <f>15+[1]!STEPLOAD(5)</f>
        <v>20</v>
      </c>
      <c r="E157" s="212">
        <f t="shared" si="24"/>
        <v>40.861585566792868</v>
      </c>
      <c r="F157" s="212">
        <f t="shared" si="25"/>
        <v>0.5</v>
      </c>
      <c r="G157" s="212">
        <f>5</f>
        <v>5</v>
      </c>
      <c r="H157" s="212">
        <f t="shared" si="23"/>
        <v>47.99816263095655</v>
      </c>
      <c r="I157" s="212">
        <f t="shared" si="26"/>
        <v>0.9</v>
      </c>
      <c r="J157" s="212">
        <f>1</f>
        <v>1</v>
      </c>
      <c r="K157" s="212">
        <f t="shared" si="27"/>
        <v>4.1870000000000003</v>
      </c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212"/>
      <c r="AA157" s="212"/>
      <c r="AB157" s="212"/>
      <c r="AC157" s="196"/>
      <c r="AD157" s="27"/>
      <c r="AE157" s="213"/>
      <c r="AF157" s="212">
        <f t="shared" si="28"/>
        <v>-2.2707571828038287E-2</v>
      </c>
      <c r="AG157" s="212"/>
      <c r="AH157" s="212"/>
      <c r="AI157" s="212"/>
      <c r="AJ157" s="212"/>
      <c r="AK157" s="212"/>
      <c r="AL157" s="212"/>
      <c r="AM157" s="212"/>
      <c r="AN157" s="212"/>
      <c r="AO157" s="212"/>
      <c r="AP157" s="196"/>
      <c r="AQ157" s="196"/>
      <c r="AR157" s="211"/>
      <c r="AS157" s="212">
        <f t="shared" si="20"/>
        <v>-6.7460895190293965E-4</v>
      </c>
      <c r="AT157" s="212">
        <f>[1]!LIM(AT156+Mode*r0*((1+IntegrationStep/2/Ti+Td/IntegrationStep)*AS157-(1-IntegrationStep/2/Ti+2*Td/IntegrationStep)*AS156+Td/IntegrationStep*AS155))</f>
        <v>0.39998468859130459</v>
      </c>
      <c r="AU157" s="212">
        <f t="shared" si="21"/>
        <v>40.794124671602574</v>
      </c>
      <c r="AW157" s="58"/>
      <c r="AX157" s="58"/>
      <c r="AY157" s="58"/>
      <c r="AZ157" s="58"/>
    </row>
    <row r="158" spans="1:52" s="185" customFormat="1" ht="15" customHeight="1" x14ac:dyDescent="0.25">
      <c r="A158" s="200"/>
      <c r="B158" s="211"/>
      <c r="C158" s="212">
        <f t="shared" si="22"/>
        <v>14.699999999999964</v>
      </c>
      <c r="D158" s="231">
        <f>15+[1]!STEPLOAD(5)</f>
        <v>20</v>
      </c>
      <c r="E158" s="212">
        <f t="shared" si="24"/>
        <v>40.859314809610062</v>
      </c>
      <c r="F158" s="212">
        <f t="shared" si="25"/>
        <v>0.5</v>
      </c>
      <c r="G158" s="212">
        <f>5</f>
        <v>5</v>
      </c>
      <c r="H158" s="212">
        <f t="shared" si="23"/>
        <v>48.009189777777564</v>
      </c>
      <c r="I158" s="212">
        <f t="shared" si="26"/>
        <v>0.9</v>
      </c>
      <c r="J158" s="212">
        <f>1</f>
        <v>1</v>
      </c>
      <c r="K158" s="212">
        <f t="shared" si="27"/>
        <v>4.1870000000000003</v>
      </c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212"/>
      <c r="AA158" s="212"/>
      <c r="AB158" s="212"/>
      <c r="AC158" s="196"/>
      <c r="AD158" s="27"/>
      <c r="AE158" s="213"/>
      <c r="AF158" s="212">
        <f t="shared" si="28"/>
        <v>-2.2006436776635052E-2</v>
      </c>
      <c r="AG158" s="212"/>
      <c r="AH158" s="212"/>
      <c r="AI158" s="212"/>
      <c r="AJ158" s="212"/>
      <c r="AK158" s="212"/>
      <c r="AL158" s="212"/>
      <c r="AM158" s="212"/>
      <c r="AN158" s="212"/>
      <c r="AO158" s="212"/>
      <c r="AP158" s="196"/>
      <c r="AQ158" s="196"/>
      <c r="AR158" s="211"/>
      <c r="AS158" s="212">
        <f t="shared" si="20"/>
        <v>-6.519013800748752E-4</v>
      </c>
      <c r="AT158" s="212">
        <f>[1]!LIM(AT157+Mode*r0*((1+IntegrationStep/2/Ti+Td/IntegrationStep)*AS158-(1-IntegrationStep/2/Ti+2*Td/IntegrationStep)*AS157+Td/IntegrationStep*AS156))</f>
        <v>0.40007658148147973</v>
      </c>
      <c r="AU158" s="212">
        <f t="shared" si="21"/>
        <v>40.794124671602574</v>
      </c>
      <c r="AW158" s="58"/>
      <c r="AX158" s="58"/>
      <c r="AY158" s="58"/>
      <c r="AZ158" s="58"/>
    </row>
    <row r="159" spans="1:52" s="185" customFormat="1" ht="15" customHeight="1" x14ac:dyDescent="0.25">
      <c r="A159" s="200"/>
      <c r="B159" s="211"/>
      <c r="C159" s="212">
        <f t="shared" si="22"/>
        <v>14.799999999999963</v>
      </c>
      <c r="D159" s="231">
        <f>15+[1]!STEPLOAD(5)</f>
        <v>20</v>
      </c>
      <c r="E159" s="212">
        <f t="shared" si="24"/>
        <v>40.857114165932401</v>
      </c>
      <c r="F159" s="212">
        <f t="shared" si="25"/>
        <v>0.5</v>
      </c>
      <c r="G159" s="212">
        <f>5</f>
        <v>5</v>
      </c>
      <c r="H159" s="212">
        <f t="shared" si="23"/>
        <v>48.01996094669957</v>
      </c>
      <c r="I159" s="212">
        <f t="shared" si="26"/>
        <v>0.9</v>
      </c>
      <c r="J159" s="212">
        <f>1</f>
        <v>1</v>
      </c>
      <c r="K159" s="212">
        <f t="shared" si="27"/>
        <v>4.1870000000000003</v>
      </c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212"/>
      <c r="AA159" s="212"/>
      <c r="AB159" s="212"/>
      <c r="AC159" s="196"/>
      <c r="AD159" s="27"/>
      <c r="AE159" s="213"/>
      <c r="AF159" s="212">
        <f t="shared" si="28"/>
        <v>-2.1323317618814119E-2</v>
      </c>
      <c r="AG159" s="212"/>
      <c r="AH159" s="212"/>
      <c r="AI159" s="212"/>
      <c r="AJ159" s="212"/>
      <c r="AK159" s="212"/>
      <c r="AL159" s="212"/>
      <c r="AM159" s="212"/>
      <c r="AN159" s="212"/>
      <c r="AO159" s="212"/>
      <c r="AP159" s="196"/>
      <c r="AQ159" s="196"/>
      <c r="AR159" s="211"/>
      <c r="AS159" s="212">
        <f t="shared" si="20"/>
        <v>-6.2989494329826815E-4</v>
      </c>
      <c r="AT159" s="212">
        <f>[1]!LIM(AT158+Mode*r0*((1+IntegrationStep/2/Ti+Td/IntegrationStep)*AS159-(1-IntegrationStep/2/Ti+2*Td/IntegrationStep)*AS158+Td/IntegrationStep*AS157))</f>
        <v>0.40016634122249639</v>
      </c>
      <c r="AU159" s="212">
        <f t="shared" si="21"/>
        <v>40.794124671602574</v>
      </c>
      <c r="AW159" s="58"/>
      <c r="AX159" s="58"/>
      <c r="AY159" s="58"/>
      <c r="AZ159" s="58"/>
    </row>
    <row r="160" spans="1:52" s="185" customFormat="1" ht="15" customHeight="1" x14ac:dyDescent="0.25">
      <c r="A160" s="200"/>
      <c r="B160" s="211"/>
      <c r="C160" s="212">
        <f t="shared" si="22"/>
        <v>14.899999999999963</v>
      </c>
      <c r="D160" s="231">
        <f>15+[1]!STEPLOAD(5)</f>
        <v>20</v>
      </c>
      <c r="E160" s="212">
        <f t="shared" si="24"/>
        <v>40.854981834170523</v>
      </c>
      <c r="F160" s="212">
        <f t="shared" si="25"/>
        <v>0.5</v>
      </c>
      <c r="G160" s="212">
        <f>5</f>
        <v>5</v>
      </c>
      <c r="H160" s="212">
        <f t="shared" si="23"/>
        <v>48.030477420611369</v>
      </c>
      <c r="I160" s="212">
        <f t="shared" si="26"/>
        <v>0.9</v>
      </c>
      <c r="J160" s="212">
        <f>1</f>
        <v>1</v>
      </c>
      <c r="K160" s="212">
        <f t="shared" si="27"/>
        <v>4.1870000000000003</v>
      </c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212"/>
      <c r="AA160" s="212"/>
      <c r="AB160" s="212"/>
      <c r="AC160" s="196"/>
      <c r="AD160" s="27"/>
      <c r="AE160" s="213"/>
      <c r="AF160" s="212">
        <f t="shared" si="28"/>
        <v>-2.0657979043982255E-2</v>
      </c>
      <c r="AG160" s="212"/>
      <c r="AH160" s="212"/>
      <c r="AI160" s="212"/>
      <c r="AJ160" s="212"/>
      <c r="AK160" s="212"/>
      <c r="AL160" s="212"/>
      <c r="AM160" s="212"/>
      <c r="AN160" s="212"/>
      <c r="AO160" s="212"/>
      <c r="AP160" s="196"/>
      <c r="AQ160" s="196"/>
      <c r="AR160" s="211"/>
      <c r="AS160" s="212">
        <f t="shared" si="20"/>
        <v>-6.0857162567948817E-4</v>
      </c>
      <c r="AT160" s="212">
        <f>[1]!LIM(AT159+Mode*r0*((1+IntegrationStep/2/Ti+Td/IntegrationStep)*AS160-(1-IntegrationStep/2/Ti+2*Td/IntegrationStep)*AS159+Td/IntegrationStep*AS158))</f>
        <v>0.40025397850509475</v>
      </c>
      <c r="AU160" s="212">
        <f t="shared" si="21"/>
        <v>40.794124671602574</v>
      </c>
      <c r="AW160" s="58"/>
      <c r="AX160" s="58"/>
      <c r="AY160" s="58"/>
      <c r="AZ160" s="58"/>
    </row>
    <row r="161" spans="1:52" s="185" customFormat="1" ht="15" customHeight="1" x14ac:dyDescent="0.25">
      <c r="A161" s="200"/>
      <c r="B161" s="211"/>
      <c r="C161" s="212">
        <f t="shared" si="22"/>
        <v>14.999999999999963</v>
      </c>
      <c r="D161" s="231">
        <f>15+[1]!STEPLOAD(5)</f>
        <v>20</v>
      </c>
      <c r="E161" s="212">
        <f t="shared" si="24"/>
        <v>40.852916036266123</v>
      </c>
      <c r="F161" s="212">
        <f t="shared" si="25"/>
        <v>0.5</v>
      </c>
      <c r="G161" s="212">
        <f>5</f>
        <v>5</v>
      </c>
      <c r="H161" s="212">
        <f t="shared" si="23"/>
        <v>48.040740864263491</v>
      </c>
      <c r="I161" s="212">
        <f t="shared" si="26"/>
        <v>0.9</v>
      </c>
      <c r="J161" s="212">
        <f>1</f>
        <v>1</v>
      </c>
      <c r="K161" s="212">
        <f t="shared" si="27"/>
        <v>4.1870000000000003</v>
      </c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212"/>
      <c r="AA161" s="212"/>
      <c r="AB161" s="212"/>
      <c r="AC161" s="196"/>
      <c r="AD161" s="27"/>
      <c r="AE161" s="213"/>
      <c r="AF161" s="212">
        <f t="shared" si="28"/>
        <v>-2.0010171678336963E-2</v>
      </c>
      <c r="AG161" s="212"/>
      <c r="AH161" s="212"/>
      <c r="AI161" s="212"/>
      <c r="AJ161" s="212"/>
      <c r="AK161" s="212"/>
      <c r="AL161" s="212"/>
      <c r="AM161" s="212"/>
      <c r="AN161" s="212"/>
      <c r="AO161" s="212"/>
      <c r="AP161" s="196"/>
      <c r="AQ161" s="196"/>
      <c r="AR161" s="211"/>
      <c r="AS161" s="212">
        <f t="shared" si="20"/>
        <v>-5.8791364663548509E-4</v>
      </c>
      <c r="AT161" s="212">
        <f>[1]!LIM(AT160+Mode*r0*((1+IntegrationStep/2/Ti+Td/IntegrationStep)*AS161-(1-IntegrationStep/2/Ti+2*Td/IntegrationStep)*AS160+Td/IntegrationStep*AS159))</f>
        <v>0.40033950720219574</v>
      </c>
      <c r="AU161" s="212">
        <f t="shared" si="21"/>
        <v>40.794124671602574</v>
      </c>
      <c r="AW161" s="58"/>
      <c r="AX161" s="58"/>
      <c r="AY161" s="58"/>
      <c r="AZ161" s="58"/>
    </row>
    <row r="162" spans="1:52" s="185" customFormat="1" ht="15" customHeight="1" x14ac:dyDescent="0.25">
      <c r="A162" s="200"/>
      <c r="B162" s="211"/>
      <c r="C162" s="212">
        <f t="shared" si="22"/>
        <v>15.099999999999962</v>
      </c>
      <c r="D162" s="231">
        <f>15+[1]!STEPLOAD(5)</f>
        <v>20</v>
      </c>
      <c r="E162" s="212">
        <f t="shared" si="24"/>
        <v>40.850915019098288</v>
      </c>
      <c r="F162" s="212">
        <f t="shared" si="25"/>
        <v>0.5</v>
      </c>
      <c r="G162" s="212">
        <f>5</f>
        <v>5</v>
      </c>
      <c r="H162" s="212">
        <f t="shared" si="23"/>
        <v>48.050753288048689</v>
      </c>
      <c r="I162" s="212">
        <f t="shared" si="26"/>
        <v>0.9</v>
      </c>
      <c r="J162" s="212">
        <f>1</f>
        <v>1</v>
      </c>
      <c r="K162" s="212">
        <f t="shared" si="27"/>
        <v>4.1870000000000003</v>
      </c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212"/>
      <c r="AA162" s="212"/>
      <c r="AB162" s="212"/>
      <c r="AC162" s="196"/>
      <c r="AD162" s="27"/>
      <c r="AE162" s="213"/>
      <c r="AF162" s="212">
        <f t="shared" si="28"/>
        <v>-1.9379633782586669E-2</v>
      </c>
      <c r="AG162" s="212"/>
      <c r="AH162" s="212"/>
      <c r="AI162" s="212"/>
      <c r="AJ162" s="212"/>
      <c r="AK162" s="212"/>
      <c r="AL162" s="212"/>
      <c r="AM162" s="212"/>
      <c r="AN162" s="212"/>
      <c r="AO162" s="212"/>
      <c r="AP162" s="196"/>
      <c r="AQ162" s="196"/>
      <c r="AR162" s="211"/>
      <c r="AS162" s="212">
        <f t="shared" si="20"/>
        <v>-5.6790347495713431E-4</v>
      </c>
      <c r="AT162" s="212">
        <f>[1]!LIM(AT161+Mode*r0*((1+IntegrationStep/2/Ti+Td/IntegrationStep)*AS162-(1-IntegrationStep/2/Ti+2*Td/IntegrationStep)*AS161+Td/IntegrationStep*AS160))</f>
        <v>0.40042294406707241</v>
      </c>
      <c r="AU162" s="212">
        <f t="shared" si="21"/>
        <v>40.794124671602574</v>
      </c>
      <c r="AW162" s="58"/>
      <c r="AX162" s="58"/>
      <c r="AY162" s="58"/>
      <c r="AZ162" s="58"/>
    </row>
    <row r="163" spans="1:52" s="185" customFormat="1" ht="15" customHeight="1" x14ac:dyDescent="0.25">
      <c r="A163" s="200"/>
      <c r="B163" s="211"/>
      <c r="C163" s="212">
        <f t="shared" si="22"/>
        <v>15.199999999999962</v>
      </c>
      <c r="D163" s="231">
        <f>15+[1]!STEPLOAD(5)</f>
        <v>20</v>
      </c>
      <c r="E163" s="212">
        <f t="shared" si="24"/>
        <v>40.848977055720027</v>
      </c>
      <c r="F163" s="212">
        <f t="shared" si="25"/>
        <v>0.5</v>
      </c>
      <c r="G163" s="212">
        <f>5</f>
        <v>5</v>
      </c>
      <c r="H163" s="212">
        <f t="shared" si="23"/>
        <v>48.060517014244418</v>
      </c>
      <c r="I163" s="212">
        <f t="shared" si="26"/>
        <v>0.9</v>
      </c>
      <c r="J163" s="212">
        <f>1</f>
        <v>1</v>
      </c>
      <c r="K163" s="212">
        <f t="shared" si="27"/>
        <v>4.1870000000000003</v>
      </c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212"/>
      <c r="AA163" s="212"/>
      <c r="AB163" s="212"/>
      <c r="AC163" s="196"/>
      <c r="AD163" s="27"/>
      <c r="AE163" s="213"/>
      <c r="AF163" s="212">
        <f t="shared" si="28"/>
        <v>-1.8766092826840719E-2</v>
      </c>
      <c r="AG163" s="212"/>
      <c r="AH163" s="212"/>
      <c r="AI163" s="212"/>
      <c r="AJ163" s="212"/>
      <c r="AK163" s="212"/>
      <c r="AL163" s="212"/>
      <c r="AM163" s="212"/>
      <c r="AN163" s="212"/>
      <c r="AO163" s="212"/>
      <c r="AP163" s="196"/>
      <c r="AQ163" s="196"/>
      <c r="AR163" s="211"/>
      <c r="AS163" s="212">
        <f t="shared" si="20"/>
        <v>-5.4852384117452856E-4</v>
      </c>
      <c r="AT163" s="212">
        <f>[1]!LIM(AT162+Mode*r0*((1+IntegrationStep/2/Ti+Td/IntegrationStep)*AS163-(1-IntegrationStep/2/Ti+2*Td/IntegrationStep)*AS162+Td/IntegrationStep*AS161))</f>
        <v>0.40050430845203683</v>
      </c>
      <c r="AU163" s="212">
        <f t="shared" si="21"/>
        <v>40.794124671602574</v>
      </c>
      <c r="AW163" s="58"/>
      <c r="AX163" s="58"/>
      <c r="AY163" s="58"/>
      <c r="AZ163" s="58"/>
    </row>
    <row r="164" spans="1:52" s="185" customFormat="1" ht="15" customHeight="1" x14ac:dyDescent="0.25">
      <c r="A164" s="200"/>
      <c r="B164" s="211"/>
      <c r="C164" s="212">
        <f t="shared" si="22"/>
        <v>15.299999999999962</v>
      </c>
      <c r="D164" s="231">
        <f>15+[1]!STEPLOAD(5)</f>
        <v>20</v>
      </c>
      <c r="E164" s="212">
        <f t="shared" si="24"/>
        <v>40.847100446437345</v>
      </c>
      <c r="F164" s="212">
        <f t="shared" si="25"/>
        <v>0.5</v>
      </c>
      <c r="G164" s="212">
        <f>5</f>
        <v>5</v>
      </c>
      <c r="H164" s="212">
        <f t="shared" si="23"/>
        <v>48.070034645568448</v>
      </c>
      <c r="I164" s="212">
        <f t="shared" si="26"/>
        <v>0.9</v>
      </c>
      <c r="J164" s="212">
        <f>1</f>
        <v>1</v>
      </c>
      <c r="K164" s="212">
        <f t="shared" si="27"/>
        <v>4.1870000000000003</v>
      </c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212"/>
      <c r="AA164" s="212"/>
      <c r="AB164" s="212"/>
      <c r="AC164" s="196"/>
      <c r="AD164" s="27"/>
      <c r="AE164" s="213"/>
      <c r="AF164" s="212">
        <f t="shared" si="28"/>
        <v>-1.8169266950321727E-2</v>
      </c>
      <c r="AG164" s="212"/>
      <c r="AH164" s="212"/>
      <c r="AI164" s="212"/>
      <c r="AJ164" s="212"/>
      <c r="AK164" s="212"/>
      <c r="AL164" s="212"/>
      <c r="AM164" s="212"/>
      <c r="AN164" s="212"/>
      <c r="AO164" s="212"/>
      <c r="AP164" s="196"/>
      <c r="AQ164" s="196"/>
      <c r="AR164" s="211"/>
      <c r="AS164" s="212">
        <f t="shared" si="20"/>
        <v>-5.2975774834770558E-4</v>
      </c>
      <c r="AT164" s="212">
        <f>[1]!LIM(AT163+Mode*r0*((1+IntegrationStep/2/Ti+Td/IntegrationStep)*AS164-(1-IntegrationStep/2/Ti+2*Td/IntegrationStep)*AS163+Td/IntegrationStep*AS162))</f>
        <v>0.40058362204640374</v>
      </c>
      <c r="AU164" s="212">
        <f t="shared" si="21"/>
        <v>40.794124671602574</v>
      </c>
      <c r="AW164" s="58"/>
      <c r="AX164" s="58"/>
      <c r="AY164" s="58"/>
      <c r="AZ164" s="58"/>
    </row>
    <row r="165" spans="1:52" s="185" customFormat="1" ht="15" customHeight="1" x14ac:dyDescent="0.25">
      <c r="A165" s="200"/>
      <c r="B165" s="211"/>
      <c r="C165" s="212">
        <f t="shared" si="22"/>
        <v>15.399999999999961</v>
      </c>
      <c r="D165" s="231">
        <f>15+[1]!STEPLOAD(5)</f>
        <v>20</v>
      </c>
      <c r="E165" s="212">
        <f t="shared" si="24"/>
        <v>40.84528351974231</v>
      </c>
      <c r="F165" s="212">
        <f t="shared" si="25"/>
        <v>0.5</v>
      </c>
      <c r="G165" s="212">
        <f>5</f>
        <v>5</v>
      </c>
      <c r="H165" s="212">
        <f t="shared" si="23"/>
        <v>48.079309035909816</v>
      </c>
      <c r="I165" s="212">
        <f t="shared" si="26"/>
        <v>0.9</v>
      </c>
      <c r="J165" s="212">
        <f>1</f>
        <v>1</v>
      </c>
      <c r="K165" s="212">
        <f t="shared" si="27"/>
        <v>4.1870000000000003</v>
      </c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212"/>
      <c r="AA165" s="212"/>
      <c r="AB165" s="212"/>
      <c r="AC165" s="196"/>
      <c r="AD165" s="27"/>
      <c r="AE165" s="213"/>
      <c r="AF165" s="212">
        <f t="shared" si="28"/>
        <v>-1.7588866312954199E-2</v>
      </c>
      <c r="AG165" s="212"/>
      <c r="AH165" s="212"/>
      <c r="AI165" s="212"/>
      <c r="AJ165" s="212"/>
      <c r="AK165" s="212"/>
      <c r="AL165" s="212"/>
      <c r="AM165" s="212"/>
      <c r="AN165" s="212"/>
      <c r="AO165" s="212"/>
      <c r="AP165" s="196"/>
      <c r="AQ165" s="196"/>
      <c r="AR165" s="211"/>
      <c r="AS165" s="212">
        <f t="shared" si="20"/>
        <v>-5.1158848139735372E-4</v>
      </c>
      <c r="AT165" s="212">
        <f>[1]!LIM(AT164+Mode*r0*((1+IntegrationStep/2/Ti+Td/IntegrationStep)*AS165-(1-IntegrationStep/2/Ti+2*Td/IntegrationStep)*AS164+Td/IntegrationStep*AS163))</f>
        <v>0.4006609086325818</v>
      </c>
      <c r="AU165" s="212">
        <f t="shared" si="21"/>
        <v>40.794124671602574</v>
      </c>
      <c r="AW165" s="58"/>
      <c r="AX165" s="58"/>
      <c r="AY165" s="58"/>
      <c r="AZ165" s="58"/>
    </row>
    <row r="166" spans="1:52" s="185" customFormat="1" ht="15" customHeight="1" x14ac:dyDescent="0.25">
      <c r="A166" s="200"/>
      <c r="B166" s="211"/>
      <c r="C166" s="212">
        <f t="shared" si="22"/>
        <v>15.499999999999961</v>
      </c>
      <c r="D166" s="231">
        <f>15+[1]!STEPLOAD(5)</f>
        <v>20</v>
      </c>
      <c r="E166" s="212">
        <f t="shared" si="24"/>
        <v>40.843524633111016</v>
      </c>
      <c r="F166" s="212">
        <f t="shared" si="25"/>
        <v>0.5</v>
      </c>
      <c r="G166" s="212">
        <f>5</f>
        <v>5</v>
      </c>
      <c r="H166" s="212">
        <f t="shared" si="23"/>
        <v>48.088343263102253</v>
      </c>
      <c r="I166" s="212">
        <f t="shared" si="26"/>
        <v>0.9</v>
      </c>
      <c r="J166" s="212">
        <f>1</f>
        <v>1</v>
      </c>
      <c r="K166" s="212">
        <f t="shared" si="27"/>
        <v>4.1870000000000003</v>
      </c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212"/>
      <c r="AA166" s="212"/>
      <c r="AB166" s="212"/>
      <c r="AC166" s="196"/>
      <c r="AD166" s="27"/>
      <c r="AE166" s="213"/>
      <c r="AF166" s="212">
        <f t="shared" si="28"/>
        <v>-1.7024594345635968E-2</v>
      </c>
      <c r="AG166" s="212"/>
      <c r="AH166" s="212"/>
      <c r="AI166" s="212"/>
      <c r="AJ166" s="212"/>
      <c r="AK166" s="212"/>
      <c r="AL166" s="212"/>
      <c r="AM166" s="212"/>
      <c r="AN166" s="212"/>
      <c r="AO166" s="212"/>
      <c r="AP166" s="196"/>
      <c r="AQ166" s="196"/>
      <c r="AR166" s="211"/>
      <c r="AS166" s="212">
        <f t="shared" si="20"/>
        <v>-4.9399961508441944E-4</v>
      </c>
      <c r="AT166" s="212">
        <f>[1]!LIM(AT165+Mode*r0*((1+IntegrationStep/2/Ti+Td/IntegrationStep)*AS166-(1-IntegrationStep/2/Ti+2*Td/IntegrationStep)*AS165+Td/IntegrationStep*AS164))</f>
        <v>0.40073619385918546</v>
      </c>
      <c r="AU166" s="212">
        <f t="shared" si="21"/>
        <v>40.794124671602574</v>
      </c>
      <c r="AW166" s="58"/>
      <c r="AX166" s="58"/>
      <c r="AY166" s="58"/>
      <c r="AZ166" s="58"/>
    </row>
    <row r="167" spans="1:52" s="185" customFormat="1" ht="15" customHeight="1" x14ac:dyDescent="0.25">
      <c r="A167" s="200"/>
      <c r="B167" s="211"/>
      <c r="C167" s="212">
        <f t="shared" si="22"/>
        <v>15.599999999999961</v>
      </c>
      <c r="D167" s="231">
        <f>15+[1]!STEPLOAD(5)</f>
        <v>20</v>
      </c>
      <c r="E167" s="212">
        <f t="shared" si="24"/>
        <v>40.841822173676455</v>
      </c>
      <c r="F167" s="212">
        <f t="shared" si="25"/>
        <v>0.5</v>
      </c>
      <c r="G167" s="212">
        <f>5</f>
        <v>5</v>
      </c>
      <c r="H167" s="212">
        <f t="shared" si="23"/>
        <v>48.097140603618342</v>
      </c>
      <c r="I167" s="212">
        <f t="shared" si="26"/>
        <v>0.9</v>
      </c>
      <c r="J167" s="212">
        <f>1</f>
        <v>1</v>
      </c>
      <c r="K167" s="212">
        <f t="shared" si="27"/>
        <v>4.1870000000000003</v>
      </c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212"/>
      <c r="AA167" s="212"/>
      <c r="AB167" s="212"/>
      <c r="AC167" s="196"/>
      <c r="AD167" s="27"/>
      <c r="AE167" s="213"/>
      <c r="AF167" s="212">
        <f t="shared" si="28"/>
        <v>-1.6476148905428811E-2</v>
      </c>
      <c r="AG167" s="212"/>
      <c r="AH167" s="212"/>
      <c r="AI167" s="212"/>
      <c r="AJ167" s="212"/>
      <c r="AK167" s="212"/>
      <c r="AL167" s="212"/>
      <c r="AM167" s="212"/>
      <c r="AN167" s="212"/>
      <c r="AO167" s="212"/>
      <c r="AP167" s="196"/>
      <c r="AQ167" s="196"/>
      <c r="AR167" s="211"/>
      <c r="AS167" s="212">
        <f t="shared" si="20"/>
        <v>-4.7697502073880573E-4</v>
      </c>
      <c r="AT167" s="212">
        <f>[1]!LIM(AT166+Mode*r0*((1+IntegrationStep/2/Ti+Td/IntegrationStep)*AS167-(1-IntegrationStep/2/Ti+2*Td/IntegrationStep)*AS166+Td/IntegrationStep*AS165))</f>
        <v>0.40080950503015284</v>
      </c>
      <c r="AU167" s="212">
        <f t="shared" si="21"/>
        <v>40.794124671602574</v>
      </c>
      <c r="AW167" s="58"/>
      <c r="AX167" s="58"/>
      <c r="AY167" s="58"/>
      <c r="AZ167" s="58"/>
    </row>
    <row r="168" spans="1:52" s="185" customFormat="1" ht="15" customHeight="1" x14ac:dyDescent="0.25">
      <c r="A168" s="200"/>
      <c r="B168" s="211"/>
      <c r="C168" s="212">
        <f t="shared" si="22"/>
        <v>15.69999999999996</v>
      </c>
      <c r="D168" s="231">
        <f>15+[1]!STEPLOAD(5)</f>
        <v>20</v>
      </c>
      <c r="E168" s="212">
        <f t="shared" si="24"/>
        <v>40.840174558785911</v>
      </c>
      <c r="F168" s="212">
        <f t="shared" si="25"/>
        <v>0.5</v>
      </c>
      <c r="G168" s="212">
        <f>5</f>
        <v>5</v>
      </c>
      <c r="H168" s="212">
        <f t="shared" si="23"/>
        <v>48.105704509065255</v>
      </c>
      <c r="I168" s="212">
        <f t="shared" si="26"/>
        <v>0.9</v>
      </c>
      <c r="J168" s="212">
        <f>1</f>
        <v>1</v>
      </c>
      <c r="K168" s="212">
        <f t="shared" si="27"/>
        <v>4.1870000000000003</v>
      </c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212"/>
      <c r="AA168" s="212"/>
      <c r="AB168" s="212"/>
      <c r="AC168" s="196"/>
      <c r="AD168" s="27"/>
      <c r="AE168" s="213"/>
      <c r="AF168" s="212">
        <f t="shared" si="28"/>
        <v>-1.5943223341752244E-2</v>
      </c>
      <c r="AG168" s="212"/>
      <c r="AH168" s="212"/>
      <c r="AI168" s="212"/>
      <c r="AJ168" s="212"/>
      <c r="AK168" s="212"/>
      <c r="AL168" s="212"/>
      <c r="AM168" s="212"/>
      <c r="AN168" s="212"/>
      <c r="AO168" s="212"/>
      <c r="AP168" s="196"/>
      <c r="AQ168" s="196"/>
      <c r="AR168" s="211"/>
      <c r="AS168" s="212">
        <f t="shared" si="20"/>
        <v>-4.604988718333658E-4</v>
      </c>
      <c r="AT168" s="212">
        <f>[1]!LIM(AT167+Mode*r0*((1+IntegrationStep/2/Ti+Td/IntegrationStep)*AS168-(1-IntegrationStep/2/Ti+2*Td/IntegrationStep)*AS167+Td/IntegrationStep*AS166))</f>
        <v>0.40088087090887714</v>
      </c>
      <c r="AU168" s="212">
        <f t="shared" si="21"/>
        <v>40.794124671602574</v>
      </c>
      <c r="AW168" s="58"/>
      <c r="AX168" s="58"/>
      <c r="AY168" s="58"/>
      <c r="AZ168" s="58"/>
    </row>
    <row r="169" spans="1:52" s="185" customFormat="1" ht="15" customHeight="1" x14ac:dyDescent="0.25">
      <c r="A169" s="200"/>
      <c r="B169" s="211"/>
      <c r="C169" s="212">
        <f t="shared" si="22"/>
        <v>15.79999999999996</v>
      </c>
      <c r="D169" s="231">
        <f>15+[1]!STEPLOAD(5)</f>
        <v>20</v>
      </c>
      <c r="E169" s="212">
        <f t="shared" si="24"/>
        <v>40.838580236451733</v>
      </c>
      <c r="F169" s="212">
        <f t="shared" si="25"/>
        <v>0.5</v>
      </c>
      <c r="G169" s="212">
        <f>5</f>
        <v>5</v>
      </c>
      <c r="H169" s="212">
        <f t="shared" si="23"/>
        <v>48.114038584373148</v>
      </c>
      <c r="I169" s="212">
        <f t="shared" si="26"/>
        <v>0.9</v>
      </c>
      <c r="J169" s="212">
        <f>1</f>
        <v>1</v>
      </c>
      <c r="K169" s="212">
        <f t="shared" si="27"/>
        <v>4.1870000000000003</v>
      </c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212"/>
      <c r="AA169" s="212"/>
      <c r="AB169" s="212"/>
      <c r="AC169" s="196"/>
      <c r="AD169" s="27"/>
      <c r="AE169" s="213"/>
      <c r="AF169" s="212">
        <f t="shared" si="28"/>
        <v>-1.5425507479144063E-2</v>
      </c>
      <c r="AG169" s="212"/>
      <c r="AH169" s="212"/>
      <c r="AI169" s="212"/>
      <c r="AJ169" s="212"/>
      <c r="AK169" s="212"/>
      <c r="AL169" s="212"/>
      <c r="AM169" s="212"/>
      <c r="AN169" s="212"/>
      <c r="AO169" s="212"/>
      <c r="AP169" s="196"/>
      <c r="AQ169" s="196"/>
      <c r="AR169" s="211"/>
      <c r="AS169" s="212">
        <f t="shared" si="20"/>
        <v>-4.4455564849158689E-4</v>
      </c>
      <c r="AT169" s="212">
        <f>[1]!LIM(AT168+Mode*r0*((1+IntegrationStep/2/Ti+Td/IntegrationStep)*AS169-(1-IntegrationStep/2/Ti+2*Td/IntegrationStep)*AS168+Td/IntegrationStep*AS167))</f>
        <v>0.40095032153644289</v>
      </c>
      <c r="AU169" s="212">
        <f t="shared" si="21"/>
        <v>40.794124671602574</v>
      </c>
      <c r="AW169" s="58"/>
      <c r="AX169" s="58"/>
      <c r="AY169" s="58"/>
      <c r="AZ169" s="58"/>
    </row>
    <row r="170" spans="1:52" s="185" customFormat="1" ht="15" customHeight="1" x14ac:dyDescent="0.25">
      <c r="A170" s="200"/>
      <c r="B170" s="211"/>
      <c r="C170" s="212">
        <f t="shared" si="22"/>
        <v>15.899999999999959</v>
      </c>
      <c r="D170" s="231">
        <f>15+[1]!STEPLOAD(5)</f>
        <v>20</v>
      </c>
      <c r="E170" s="212">
        <f t="shared" si="24"/>
        <v>40.83703768570382</v>
      </c>
      <c r="F170" s="212">
        <f t="shared" si="25"/>
        <v>0.5</v>
      </c>
      <c r="G170" s="212">
        <f>5</f>
        <v>5</v>
      </c>
      <c r="H170" s="212">
        <f t="shared" si="23"/>
        <v>48.122146567571747</v>
      </c>
      <c r="I170" s="212">
        <f t="shared" si="26"/>
        <v>0.9</v>
      </c>
      <c r="J170" s="212">
        <f>1</f>
        <v>1</v>
      </c>
      <c r="K170" s="212">
        <f t="shared" si="27"/>
        <v>4.1870000000000003</v>
      </c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212"/>
      <c r="AA170" s="212"/>
      <c r="AB170" s="212"/>
      <c r="AC170" s="196"/>
      <c r="AD170" s="27"/>
      <c r="AE170" s="213"/>
      <c r="AF170" s="212">
        <f t="shared" si="28"/>
        <v>-1.4922688521918914E-2</v>
      </c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196"/>
      <c r="AQ170" s="196"/>
      <c r="AR170" s="211"/>
      <c r="AS170" s="212">
        <f t="shared" si="20"/>
        <v>-4.2913014101245042E-4</v>
      </c>
      <c r="AT170" s="212">
        <f>[1]!LIM(AT169+Mode*r0*((1+IntegrationStep/2/Ti+Td/IntegrationStep)*AS170-(1-IntegrationStep/2/Ti+2*Td/IntegrationStep)*AS169+Td/IntegrationStep*AS168))</f>
        <v>0.4010178880630979</v>
      </c>
      <c r="AU170" s="212">
        <f t="shared" si="21"/>
        <v>40.794124671602574</v>
      </c>
      <c r="AW170" s="58"/>
      <c r="AX170" s="58"/>
      <c r="AY170" s="58"/>
      <c r="AZ170" s="58"/>
    </row>
    <row r="171" spans="1:52" s="185" customFormat="1" ht="15" customHeight="1" x14ac:dyDescent="0.25">
      <c r="A171" s="200"/>
      <c r="B171" s="211"/>
      <c r="C171" s="212">
        <f t="shared" si="22"/>
        <v>15.999999999999959</v>
      </c>
      <c r="D171" s="231">
        <f>15+[1]!STEPLOAD(5)</f>
        <v>20</v>
      </c>
      <c r="E171" s="212">
        <f t="shared" si="24"/>
        <v>40.83554541685163</v>
      </c>
      <c r="F171" s="212">
        <f t="shared" si="25"/>
        <v>0.5</v>
      </c>
      <c r="G171" s="212">
        <f>5</f>
        <v>5</v>
      </c>
      <c r="H171" s="212">
        <f t="shared" si="23"/>
        <v>48.130032311057334</v>
      </c>
      <c r="I171" s="212">
        <f t="shared" si="26"/>
        <v>0.9</v>
      </c>
      <c r="J171" s="212">
        <f>1</f>
        <v>1</v>
      </c>
      <c r="K171" s="212">
        <f t="shared" si="27"/>
        <v>4.1870000000000003</v>
      </c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212"/>
      <c r="AA171" s="212"/>
      <c r="AB171" s="212"/>
      <c r="AC171" s="196"/>
      <c r="AD171" s="27"/>
      <c r="AE171" s="213"/>
      <c r="AF171" s="212">
        <f t="shared" si="28"/>
        <v>-1.4434451885708022E-2</v>
      </c>
      <c r="AG171" s="212"/>
      <c r="AH171" s="212"/>
      <c r="AI171" s="212"/>
      <c r="AJ171" s="212"/>
      <c r="AK171" s="212"/>
      <c r="AL171" s="212"/>
      <c r="AM171" s="212"/>
      <c r="AN171" s="212"/>
      <c r="AO171" s="212"/>
      <c r="AP171" s="196"/>
      <c r="AQ171" s="196"/>
      <c r="AR171" s="211"/>
      <c r="AS171" s="212">
        <f t="shared" si="20"/>
        <v>-4.1420745249055814E-4</v>
      </c>
      <c r="AT171" s="212">
        <f>[1]!LIM(AT170+Mode*r0*((1+IntegrationStep/2/Ti+Td/IntegrationStep)*AS171-(1-IntegrationStep/2/Ti+2*Td/IntegrationStep)*AS170+Td/IntegrationStep*AS169))</f>
        <v>0.40108360259214448</v>
      </c>
      <c r="AU171" s="212">
        <f t="shared" si="21"/>
        <v>40.794124671602574</v>
      </c>
      <c r="AW171" s="58"/>
      <c r="AX171" s="58"/>
      <c r="AY171" s="58"/>
      <c r="AZ171" s="58"/>
    </row>
    <row r="172" spans="1:52" s="185" customFormat="1" ht="15" customHeight="1" x14ac:dyDescent="0.25">
      <c r="A172" s="200"/>
      <c r="B172" s="211"/>
      <c r="C172" s="212">
        <f t="shared" si="22"/>
        <v>16.099999999999959</v>
      </c>
      <c r="D172" s="231">
        <f>15+[1]!STEPLOAD(5)</f>
        <v>20</v>
      </c>
      <c r="E172" s="212">
        <f t="shared" si="24"/>
        <v>40.83410197166306</v>
      </c>
      <c r="F172" s="212">
        <f t="shared" si="25"/>
        <v>0.5</v>
      </c>
      <c r="G172" s="212">
        <f>5</f>
        <v>5</v>
      </c>
      <c r="H172" s="212">
        <f t="shared" si="23"/>
        <v>48.137699764256958</v>
      </c>
      <c r="I172" s="212">
        <f t="shared" si="26"/>
        <v>0.9</v>
      </c>
      <c r="J172" s="212">
        <f>1</f>
        <v>1</v>
      </c>
      <c r="K172" s="212">
        <f t="shared" si="27"/>
        <v>4.1870000000000003</v>
      </c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212"/>
      <c r="AA172" s="212"/>
      <c r="AB172" s="212"/>
      <c r="AC172" s="196"/>
      <c r="AD172" s="27"/>
      <c r="AE172" s="213"/>
      <c r="AF172" s="212">
        <f t="shared" si="28"/>
        <v>-1.3960481960609616E-2</v>
      </c>
      <c r="AG172" s="212"/>
      <c r="AH172" s="212"/>
      <c r="AI172" s="212"/>
      <c r="AJ172" s="212"/>
      <c r="AK172" s="212"/>
      <c r="AL172" s="212"/>
      <c r="AM172" s="212"/>
      <c r="AN172" s="212"/>
      <c r="AO172" s="212"/>
      <c r="AP172" s="196"/>
      <c r="AQ172" s="196"/>
      <c r="AR172" s="211"/>
      <c r="AS172" s="212">
        <f t="shared" si="20"/>
        <v>-3.9977300060485278E-4</v>
      </c>
      <c r="AT172" s="212">
        <f>[1]!LIM(AT171+Mode*r0*((1+IntegrationStep/2/Ti+Td/IntegrationStep)*AS172-(1-IntegrationStep/2/Ti+2*Td/IntegrationStep)*AS171+Td/IntegrationStep*AS170))</f>
        <v>0.40114749803547467</v>
      </c>
      <c r="AU172" s="212">
        <f t="shared" si="21"/>
        <v>40.794124671602574</v>
      </c>
      <c r="AW172" s="58"/>
      <c r="AX172" s="58"/>
      <c r="AY172" s="58"/>
      <c r="AZ172" s="58"/>
    </row>
    <row r="173" spans="1:52" s="185" customFormat="1" ht="15" customHeight="1" x14ac:dyDescent="0.25">
      <c r="A173" s="200"/>
      <c r="B173" s="211"/>
      <c r="C173" s="212">
        <f t="shared" si="22"/>
        <v>16.19999999999996</v>
      </c>
      <c r="D173" s="231">
        <f>15+[1]!STEPLOAD(5)</f>
        <v>20</v>
      </c>
      <c r="E173" s="212">
        <f t="shared" si="24"/>
        <v>40.832705923466996</v>
      </c>
      <c r="F173" s="212">
        <f t="shared" si="25"/>
        <v>0.5</v>
      </c>
      <c r="G173" s="212">
        <f>5</f>
        <v>5</v>
      </c>
      <c r="H173" s="212">
        <f t="shared" si="23"/>
        <v>48.145152957603003</v>
      </c>
      <c r="I173" s="212">
        <f t="shared" si="26"/>
        <v>0.9</v>
      </c>
      <c r="J173" s="212">
        <f>1</f>
        <v>1</v>
      </c>
      <c r="K173" s="212">
        <f t="shared" si="27"/>
        <v>4.1870000000000003</v>
      </c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212"/>
      <c r="AA173" s="212"/>
      <c r="AB173" s="212"/>
      <c r="AC173" s="196"/>
      <c r="AD173" s="27"/>
      <c r="AE173" s="213"/>
      <c r="AF173" s="212">
        <f t="shared" si="28"/>
        <v>-1.3500462810387859E-2</v>
      </c>
      <c r="AG173" s="212"/>
      <c r="AH173" s="212"/>
      <c r="AI173" s="212"/>
      <c r="AJ173" s="212"/>
      <c r="AK173" s="212"/>
      <c r="AL173" s="212"/>
      <c r="AM173" s="212"/>
      <c r="AN173" s="212"/>
      <c r="AO173" s="212"/>
      <c r="AP173" s="196"/>
      <c r="AQ173" s="196"/>
      <c r="AR173" s="211"/>
      <c r="AS173" s="212">
        <f t="shared" si="20"/>
        <v>-3.8581251864421517E-4</v>
      </c>
      <c r="AT173" s="212">
        <f>[1]!LIM(AT172+Mode*r0*((1+IntegrationStep/2/Ti+Td/IntegrationStep)*AS173-(1-IntegrationStep/2/Ti+2*Td/IntegrationStep)*AS172+Td/IntegrationStep*AS171))</f>
        <v>0.40120960798002503</v>
      </c>
      <c r="AU173" s="212">
        <f t="shared" si="21"/>
        <v>40.794124671602574</v>
      </c>
      <c r="AW173" s="58"/>
      <c r="AX173" s="58"/>
      <c r="AY173" s="58"/>
      <c r="AZ173" s="58"/>
    </row>
    <row r="174" spans="1:52" s="185" customFormat="1" ht="15" customHeight="1" x14ac:dyDescent="0.25">
      <c r="A174" s="200"/>
      <c r="B174" s="211"/>
      <c r="C174" s="212">
        <f t="shared" si="22"/>
        <v>16.299999999999962</v>
      </c>
      <c r="D174" s="231">
        <f>15+[1]!STEPLOAD(5)</f>
        <v>20</v>
      </c>
      <c r="E174" s="212">
        <f t="shared" si="24"/>
        <v>40.831355877185956</v>
      </c>
      <c r="F174" s="212">
        <f t="shared" si="25"/>
        <v>0.5</v>
      </c>
      <c r="G174" s="212">
        <f>5</f>
        <v>5</v>
      </c>
      <c r="H174" s="212">
        <f t="shared" si="23"/>
        <v>48.152395987735964</v>
      </c>
      <c r="I174" s="212">
        <f t="shared" si="26"/>
        <v>0.9</v>
      </c>
      <c r="J174" s="212">
        <f>1</f>
        <v>1</v>
      </c>
      <c r="K174" s="212">
        <f t="shared" si="27"/>
        <v>4.1870000000000003</v>
      </c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212"/>
      <c r="AA174" s="212"/>
      <c r="AB174" s="212"/>
      <c r="AC174" s="196"/>
      <c r="AD174" s="27"/>
      <c r="AE174" s="213"/>
      <c r="AF174" s="212">
        <f t="shared" si="28"/>
        <v>-1.3054078811866709E-2</v>
      </c>
      <c r="AG174" s="212"/>
      <c r="AH174" s="212"/>
      <c r="AI174" s="212"/>
      <c r="AJ174" s="212"/>
      <c r="AK174" s="212"/>
      <c r="AL174" s="212"/>
      <c r="AM174" s="212"/>
      <c r="AN174" s="212"/>
      <c r="AO174" s="212"/>
      <c r="AP174" s="196"/>
      <c r="AQ174" s="196"/>
      <c r="AR174" s="211"/>
      <c r="AS174" s="212">
        <f t="shared" si="20"/>
        <v>-3.7231205583381665E-4</v>
      </c>
      <c r="AT174" s="212">
        <f>[1]!LIM(AT173+Mode*r0*((1+IntegrationStep/2/Ti+Td/IntegrationStep)*AS174-(1-IntegrationStep/2/Ti+2*Td/IntegrationStep)*AS173+Td/IntegrationStep*AS172))</f>
        <v>0.4012699665644664</v>
      </c>
      <c r="AU174" s="212">
        <f t="shared" si="21"/>
        <v>40.794124671602574</v>
      </c>
      <c r="AW174" s="58"/>
      <c r="AX174" s="58"/>
      <c r="AY174" s="58"/>
      <c r="AZ174" s="58"/>
    </row>
    <row r="175" spans="1:52" s="185" customFormat="1" ht="15" customHeight="1" x14ac:dyDescent="0.25">
      <c r="A175" s="200"/>
      <c r="B175" s="211"/>
      <c r="C175" s="212">
        <f t="shared" si="22"/>
        <v>16.399999999999963</v>
      </c>
      <c r="D175" s="231">
        <f>15+[1]!STEPLOAD(5)</f>
        <v>20</v>
      </c>
      <c r="E175" s="212">
        <f t="shared" si="24"/>
        <v>40.830050469304773</v>
      </c>
      <c r="F175" s="212">
        <f t="shared" si="25"/>
        <v>0.5</v>
      </c>
      <c r="G175" s="212">
        <f>5</f>
        <v>5</v>
      </c>
      <c r="H175" s="212">
        <f t="shared" si="23"/>
        <v>48.159433003858013</v>
      </c>
      <c r="I175" s="212">
        <f t="shared" si="26"/>
        <v>0.9</v>
      </c>
      <c r="J175" s="212">
        <f>1</f>
        <v>1</v>
      </c>
      <c r="K175" s="212">
        <f t="shared" si="27"/>
        <v>4.1870000000000003</v>
      </c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212"/>
      <c r="AA175" s="212"/>
      <c r="AB175" s="212"/>
      <c r="AC175" s="196"/>
      <c r="AD175" s="27"/>
      <c r="AE175" s="213"/>
      <c r="AF175" s="212">
        <f t="shared" si="28"/>
        <v>-1.2621015238468036E-2</v>
      </c>
      <c r="AG175" s="212"/>
      <c r="AH175" s="212"/>
      <c r="AI175" s="212"/>
      <c r="AJ175" s="212"/>
      <c r="AK175" s="212"/>
      <c r="AL175" s="212"/>
      <c r="AM175" s="212"/>
      <c r="AN175" s="212"/>
      <c r="AO175" s="212"/>
      <c r="AP175" s="196"/>
      <c r="AQ175" s="196"/>
      <c r="AR175" s="211"/>
      <c r="AS175" s="212">
        <f t="shared" si="20"/>
        <v>-3.5925797702198283E-4</v>
      </c>
      <c r="AT175" s="212">
        <f>[1]!LIM(AT174+Mode*r0*((1+IntegrationStep/2/Ti+Td/IntegrationStep)*AS175-(1-IntegrationStep/2/Ti+2*Td/IntegrationStep)*AS174+Td/IntegrationStep*AS173))</f>
        <v>0.40132860836548345</v>
      </c>
      <c r="AU175" s="212">
        <f t="shared" si="21"/>
        <v>40.794124671602574</v>
      </c>
      <c r="AW175" s="58"/>
      <c r="AX175" s="58"/>
      <c r="AY175" s="58"/>
      <c r="AZ175" s="58"/>
    </row>
    <row r="176" spans="1:52" s="185" customFormat="1" ht="15" customHeight="1" x14ac:dyDescent="0.25">
      <c r="A176" s="200"/>
      <c r="B176" s="211"/>
      <c r="C176" s="212">
        <f t="shared" si="22"/>
        <v>16.499999999999964</v>
      </c>
      <c r="D176" s="231">
        <f>15+[1]!STEPLOAD(5)</f>
        <v>20</v>
      </c>
      <c r="E176" s="212">
        <f t="shared" si="24"/>
        <v>40.828788367780923</v>
      </c>
      <c r="F176" s="212">
        <f t="shared" si="25"/>
        <v>0.5</v>
      </c>
      <c r="G176" s="212">
        <f>5</f>
        <v>5</v>
      </c>
      <c r="H176" s="212">
        <f t="shared" si="23"/>
        <v>48.166268195164179</v>
      </c>
      <c r="I176" s="212">
        <f t="shared" si="26"/>
        <v>0.9</v>
      </c>
      <c r="J176" s="212">
        <f>1</f>
        <v>1</v>
      </c>
      <c r="K176" s="212">
        <f t="shared" si="27"/>
        <v>4.1870000000000003</v>
      </c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212"/>
      <c r="AA176" s="212"/>
      <c r="AB176" s="212"/>
      <c r="AC176" s="196"/>
      <c r="AD176" s="27"/>
      <c r="AE176" s="213"/>
      <c r="AF176" s="212">
        <f t="shared" si="28"/>
        <v>-1.2200958791574124E-2</v>
      </c>
      <c r="AG176" s="212"/>
      <c r="AH176" s="212"/>
      <c r="AI176" s="212"/>
      <c r="AJ176" s="212"/>
      <c r="AK176" s="212"/>
      <c r="AL176" s="212"/>
      <c r="AM176" s="212"/>
      <c r="AN176" s="212"/>
      <c r="AO176" s="212"/>
      <c r="AP176" s="196"/>
      <c r="AQ176" s="196"/>
      <c r="AR176" s="211"/>
      <c r="AS176" s="212">
        <f t="shared" si="20"/>
        <v>-3.4663696178348856E-4</v>
      </c>
      <c r="AT176" s="212">
        <f>[1]!LIM(AT175+Mode*r0*((1+IntegrationStep/2/Ti+Td/IntegrationStep)*AS176-(1-IntegrationStep/2/Ti+2*Td/IntegrationStep)*AS175+Td/IntegrationStep*AS174))</f>
        <v>0.40138556829303484</v>
      </c>
      <c r="AU176" s="212">
        <f t="shared" si="21"/>
        <v>40.794124671602574</v>
      </c>
      <c r="AW176" s="58"/>
      <c r="AX176" s="58"/>
      <c r="AY176" s="58"/>
      <c r="AZ176" s="58"/>
    </row>
    <row r="177" spans="1:52" s="185" customFormat="1" ht="15" customHeight="1" x14ac:dyDescent="0.25">
      <c r="A177" s="200"/>
      <c r="B177" s="211"/>
      <c r="C177" s="212">
        <f t="shared" si="22"/>
        <v>16.599999999999966</v>
      </c>
      <c r="D177" s="231">
        <f>15+[1]!STEPLOAD(5)</f>
        <v>20</v>
      </c>
      <c r="E177" s="212">
        <f t="shared" si="24"/>
        <v>40.827568271901768</v>
      </c>
      <c r="F177" s="212">
        <f t="shared" si="25"/>
        <v>0.5</v>
      </c>
      <c r="G177" s="212">
        <f>5</f>
        <v>5</v>
      </c>
      <c r="H177" s="212">
        <f t="shared" si="23"/>
        <v>48.172905779281528</v>
      </c>
      <c r="I177" s="212">
        <f t="shared" si="26"/>
        <v>0.9</v>
      </c>
      <c r="J177" s="212">
        <f>1</f>
        <v>1</v>
      </c>
      <c r="K177" s="212">
        <f t="shared" si="27"/>
        <v>4.1870000000000003</v>
      </c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212"/>
      <c r="AA177" s="212"/>
      <c r="AB177" s="212"/>
      <c r="AC177" s="196"/>
      <c r="AD177" s="27"/>
      <c r="AE177" s="213"/>
      <c r="AF177" s="212">
        <f t="shared" si="28"/>
        <v>-1.1793598083257084E-2</v>
      </c>
      <c r="AG177" s="212"/>
      <c r="AH177" s="212"/>
      <c r="AI177" s="212"/>
      <c r="AJ177" s="212"/>
      <c r="AK177" s="212"/>
      <c r="AL177" s="212"/>
      <c r="AM177" s="212"/>
      <c r="AN177" s="212"/>
      <c r="AO177" s="212"/>
      <c r="AP177" s="196"/>
      <c r="AQ177" s="196"/>
      <c r="AR177" s="211"/>
      <c r="AS177" s="212">
        <f t="shared" si="20"/>
        <v>-3.3443600299193577E-4</v>
      </c>
      <c r="AT177" s="212">
        <f>[1]!LIM(AT176+Mode*r0*((1+IntegrationStep/2/Ti+Td/IntegrationStep)*AS177-(1-IntegrationStep/2/Ti+2*Td/IntegrationStep)*AS176+Td/IntegrationStep*AS175))</f>
        <v>0.40144088149401275</v>
      </c>
      <c r="AU177" s="212">
        <f t="shared" si="21"/>
        <v>40.794124671602574</v>
      </c>
      <c r="AW177" s="58"/>
      <c r="AX177" s="58"/>
      <c r="AY177" s="58"/>
      <c r="AZ177" s="58"/>
    </row>
    <row r="178" spans="1:52" s="185" customFormat="1" ht="15" customHeight="1" x14ac:dyDescent="0.25">
      <c r="A178" s="200"/>
      <c r="B178" s="211"/>
      <c r="C178" s="212">
        <f t="shared" si="22"/>
        <v>16.699999999999967</v>
      </c>
      <c r="D178" s="231">
        <f>15+[1]!STEPLOAD(5)</f>
        <v>20</v>
      </c>
      <c r="E178" s="212">
        <f t="shared" si="24"/>
        <v>40.826388912093442</v>
      </c>
      <c r="F178" s="212">
        <f t="shared" si="25"/>
        <v>0.5</v>
      </c>
      <c r="G178" s="212">
        <f>5</f>
        <v>5</v>
      </c>
      <c r="H178" s="212">
        <f t="shared" si="23"/>
        <v>48.179349991653631</v>
      </c>
      <c r="I178" s="212">
        <f t="shared" si="26"/>
        <v>0.9</v>
      </c>
      <c r="J178" s="212">
        <f>1</f>
        <v>1</v>
      </c>
      <c r="K178" s="212">
        <f t="shared" si="27"/>
        <v>4.1870000000000003</v>
      </c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212"/>
      <c r="AA178" s="212"/>
      <c r="AB178" s="212"/>
      <c r="AC178" s="196"/>
      <c r="AD178" s="27"/>
      <c r="AE178" s="213"/>
      <c r="AF178" s="212">
        <f t="shared" si="28"/>
        <v>-1.1398624073530428E-2</v>
      </c>
      <c r="AG178" s="212"/>
      <c r="AH178" s="212"/>
      <c r="AI178" s="212"/>
      <c r="AJ178" s="212"/>
      <c r="AK178" s="212"/>
      <c r="AL178" s="212"/>
      <c r="AM178" s="212"/>
      <c r="AN178" s="212"/>
      <c r="AO178" s="212"/>
      <c r="AP178" s="196"/>
      <c r="AQ178" s="196"/>
      <c r="AR178" s="211"/>
      <c r="AS178" s="212">
        <f t="shared" si="20"/>
        <v>-3.2264240490867733E-4</v>
      </c>
      <c r="AT178" s="212">
        <f>[1]!LIM(AT177+Mode*r0*((1+IntegrationStep/2/Ti+Td/IntegrationStep)*AS178-(1-IntegrationStep/2/Ti+2*Td/IntegrationStep)*AS177+Td/IntegrationStep*AS176))</f>
        <v>0.40149458326378024</v>
      </c>
      <c r="AU178" s="212">
        <f t="shared" si="21"/>
        <v>40.794124671602574</v>
      </c>
      <c r="AW178" s="58"/>
      <c r="AX178" s="58"/>
      <c r="AY178" s="58"/>
      <c r="AZ178" s="58"/>
    </row>
    <row r="179" spans="1:52" s="185" customFormat="1" ht="15" customHeight="1" x14ac:dyDescent="0.25">
      <c r="A179" s="200"/>
      <c r="B179" s="211"/>
      <c r="C179" s="212">
        <f t="shared" si="22"/>
        <v>16.799999999999969</v>
      </c>
      <c r="D179" s="231">
        <f>15+[1]!STEPLOAD(5)</f>
        <v>20</v>
      </c>
      <c r="E179" s="212">
        <f t="shared" si="24"/>
        <v>40.825249049686086</v>
      </c>
      <c r="F179" s="212">
        <f t="shared" si="25"/>
        <v>0.5</v>
      </c>
      <c r="G179" s="212">
        <f>5</f>
        <v>5</v>
      </c>
      <c r="H179" s="212">
        <f t="shared" si="23"/>
        <v>48.185605075806805</v>
      </c>
      <c r="I179" s="212">
        <f t="shared" si="26"/>
        <v>0.9</v>
      </c>
      <c r="J179" s="212">
        <f>1</f>
        <v>1</v>
      </c>
      <c r="K179" s="212">
        <f t="shared" si="27"/>
        <v>4.1870000000000003</v>
      </c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212"/>
      <c r="AA179" s="212"/>
      <c r="AB179" s="212"/>
      <c r="AC179" s="196"/>
      <c r="AD179" s="27"/>
      <c r="AE179" s="213"/>
      <c r="AF179" s="212">
        <f t="shared" si="28"/>
        <v>-1.1015730465330886E-2</v>
      </c>
      <c r="AG179" s="212"/>
      <c r="AH179" s="212"/>
      <c r="AI179" s="212"/>
      <c r="AJ179" s="212"/>
      <c r="AK179" s="212"/>
      <c r="AL179" s="212"/>
      <c r="AM179" s="212"/>
      <c r="AN179" s="212"/>
      <c r="AO179" s="212"/>
      <c r="AP179" s="196"/>
      <c r="AQ179" s="196"/>
      <c r="AR179" s="211"/>
      <c r="AS179" s="212">
        <f t="shared" si="20"/>
        <v>-3.1124378083511315E-4</v>
      </c>
      <c r="AT179" s="212">
        <f>[1]!LIM(AT178+Mode*r0*((1+IntegrationStep/2/Ti+Td/IntegrationStep)*AS179-(1-IntegrationStep/2/Ti+2*Td/IntegrationStep)*AS178+Td/IntegrationStep*AS177))</f>
        <v>0.40154670896505673</v>
      </c>
      <c r="AU179" s="212">
        <f t="shared" si="21"/>
        <v>40.794124671602574</v>
      </c>
      <c r="AW179" s="58"/>
      <c r="AX179" s="58"/>
      <c r="AY179" s="58"/>
      <c r="AZ179" s="58"/>
    </row>
    <row r="180" spans="1:52" s="185" customFormat="1" ht="15" customHeight="1" x14ac:dyDescent="0.25">
      <c r="A180" s="200"/>
      <c r="B180" s="211"/>
      <c r="C180" s="212">
        <f t="shared" si="22"/>
        <v>16.89999999999997</v>
      </c>
      <c r="D180" s="231">
        <f>15+[1]!STEPLOAD(5)</f>
        <v>20</v>
      </c>
      <c r="E180" s="212">
        <f t="shared" si="24"/>
        <v>40.824147476639553</v>
      </c>
      <c r="F180" s="212">
        <f t="shared" si="25"/>
        <v>0.5</v>
      </c>
      <c r="G180" s="212">
        <f>5</f>
        <v>5</v>
      </c>
      <c r="H180" s="212">
        <f t="shared" si="23"/>
        <v>48.191675274442289</v>
      </c>
      <c r="I180" s="212">
        <f t="shared" si="26"/>
        <v>0.9</v>
      </c>
      <c r="J180" s="212">
        <f>1</f>
        <v>1</v>
      </c>
      <c r="K180" s="212">
        <f t="shared" si="27"/>
        <v>4.1870000000000003</v>
      </c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212"/>
      <c r="AA180" s="212"/>
      <c r="AB180" s="212"/>
      <c r="AC180" s="196"/>
      <c r="AD180" s="27"/>
      <c r="AE180" s="213"/>
      <c r="AF180" s="212">
        <f t="shared" si="28"/>
        <v>-1.0644614060035806E-2</v>
      </c>
      <c r="AG180" s="212"/>
      <c r="AH180" s="212"/>
      <c r="AI180" s="212"/>
      <c r="AJ180" s="212"/>
      <c r="AK180" s="212"/>
      <c r="AL180" s="212"/>
      <c r="AM180" s="212"/>
      <c r="AN180" s="212"/>
      <c r="AO180" s="212"/>
      <c r="AP180" s="196"/>
      <c r="AQ180" s="196"/>
      <c r="AR180" s="211"/>
      <c r="AS180" s="212">
        <f t="shared" si="20"/>
        <v>-3.0022805036978184E-4</v>
      </c>
      <c r="AT180" s="212">
        <f>[1]!LIM(AT179+Mode*r0*((1+IntegrationStep/2/Ti+Td/IntegrationStep)*AS180-(1-IntegrationStep/2/Ti+2*Td/IntegrationStep)*AS179+Td/IntegrationStep*AS178))</f>
        <v>0.40159729395368576</v>
      </c>
      <c r="AU180" s="212">
        <f t="shared" si="21"/>
        <v>40.794124671602574</v>
      </c>
      <c r="AW180" s="58"/>
      <c r="AX180" s="58"/>
      <c r="AY180" s="58"/>
      <c r="AZ180" s="58"/>
    </row>
    <row r="181" spans="1:52" s="185" customFormat="1" ht="15" customHeight="1" x14ac:dyDescent="0.25">
      <c r="A181" s="200"/>
      <c r="B181" s="211"/>
      <c r="C181" s="212">
        <f t="shared" si="22"/>
        <v>16.999999999999972</v>
      </c>
      <c r="D181" s="231">
        <f>15+[1]!STEPLOAD(5)</f>
        <v>20</v>
      </c>
      <c r="E181" s="212">
        <f t="shared" si="24"/>
        <v>40.82308301523355</v>
      </c>
      <c r="F181" s="212">
        <f t="shared" si="25"/>
        <v>0.5</v>
      </c>
      <c r="G181" s="212">
        <f>5</f>
        <v>5</v>
      </c>
      <c r="H181" s="212">
        <f t="shared" si="23"/>
        <v>48.197564821300048</v>
      </c>
      <c r="I181" s="212">
        <f t="shared" si="26"/>
        <v>0.9</v>
      </c>
      <c r="J181" s="212">
        <f>1</f>
        <v>1</v>
      </c>
      <c r="K181" s="212">
        <f t="shared" si="27"/>
        <v>4.1870000000000003</v>
      </c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212"/>
      <c r="AA181" s="212"/>
      <c r="AB181" s="212"/>
      <c r="AC181" s="196"/>
      <c r="AD181" s="27"/>
      <c r="AE181" s="213"/>
      <c r="AF181" s="212">
        <f t="shared" si="28"/>
        <v>-1.028497507625481E-2</v>
      </c>
      <c r="AG181" s="212"/>
      <c r="AH181" s="212"/>
      <c r="AI181" s="212"/>
      <c r="AJ181" s="212"/>
      <c r="AK181" s="212"/>
      <c r="AL181" s="212"/>
      <c r="AM181" s="212"/>
      <c r="AN181" s="212"/>
      <c r="AO181" s="212"/>
      <c r="AP181" s="196"/>
      <c r="AQ181" s="196"/>
      <c r="AR181" s="211"/>
      <c r="AS181" s="212">
        <f t="shared" si="20"/>
        <v>-2.8958343630975492E-4</v>
      </c>
      <c r="AT181" s="212">
        <f>[1]!LIM(AT180+Mode*r0*((1+IntegrationStep/2/Ti+Td/IntegrationStep)*AS181-(1-IntegrationStep/2/Ti+2*Td/IntegrationStep)*AS180+Td/IntegrationStep*AS179))</f>
        <v>0.40164637351083377</v>
      </c>
      <c r="AU181" s="212">
        <f t="shared" si="21"/>
        <v>40.794124671602574</v>
      </c>
      <c r="AW181" s="58"/>
      <c r="AX181" s="58"/>
      <c r="AY181" s="58"/>
      <c r="AZ181" s="58"/>
    </row>
    <row r="182" spans="1:52" s="185" customFormat="1" ht="15" customHeight="1" x14ac:dyDescent="0.25">
      <c r="A182" s="200"/>
      <c r="B182" s="211"/>
      <c r="C182" s="212">
        <f t="shared" si="22"/>
        <v>17.099999999999973</v>
      </c>
      <c r="D182" s="231">
        <f>15+[1]!STEPLOAD(5)</f>
        <v>20</v>
      </c>
      <c r="E182" s="212">
        <f t="shared" si="24"/>
        <v>40.822054517725924</v>
      </c>
      <c r="F182" s="212">
        <f t="shared" si="25"/>
        <v>0.5</v>
      </c>
      <c r="G182" s="212">
        <f>5</f>
        <v>5</v>
      </c>
      <c r="H182" s="212">
        <f t="shared" si="23"/>
        <v>48.203277933742598</v>
      </c>
      <c r="I182" s="212">
        <f t="shared" si="26"/>
        <v>0.9</v>
      </c>
      <c r="J182" s="212">
        <f>1</f>
        <v>1</v>
      </c>
      <c r="K182" s="212">
        <f t="shared" si="27"/>
        <v>4.1870000000000003</v>
      </c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212"/>
      <c r="AA182" s="212"/>
      <c r="AB182" s="212"/>
      <c r="AC182" s="196"/>
      <c r="AD182" s="27"/>
      <c r="AE182" s="213"/>
      <c r="AF182" s="212">
        <f t="shared" si="28"/>
        <v>-9.9365174344825391E-3</v>
      </c>
      <c r="AG182" s="212"/>
      <c r="AH182" s="212"/>
      <c r="AI182" s="212"/>
      <c r="AJ182" s="212"/>
      <c r="AK182" s="212"/>
      <c r="AL182" s="212"/>
      <c r="AM182" s="212"/>
      <c r="AN182" s="212"/>
      <c r="AO182" s="212"/>
      <c r="AP182" s="196"/>
      <c r="AQ182" s="196"/>
      <c r="AR182" s="211"/>
      <c r="AS182" s="212">
        <f t="shared" si="20"/>
        <v>-2.7929846123349479E-4</v>
      </c>
      <c r="AT182" s="212">
        <f>[1]!LIM(AT181+Mode*r0*((1+IntegrationStep/2/Ti+Td/IntegrationStep)*AS182-(1-IntegrationStep/2/Ti+2*Td/IntegrationStep)*AS181+Td/IntegrationStep*AS180))</f>
        <v>0.40169398278118829</v>
      </c>
      <c r="AU182" s="212">
        <f t="shared" si="21"/>
        <v>40.794124671602574</v>
      </c>
      <c r="AW182" s="58"/>
      <c r="AX182" s="58"/>
      <c r="AY182" s="58"/>
      <c r="AZ182" s="58"/>
    </row>
    <row r="183" spans="1:52" s="185" customFormat="1" ht="15" customHeight="1" x14ac:dyDescent="0.25">
      <c r="A183" s="200"/>
      <c r="B183" s="211"/>
      <c r="C183" s="212">
        <f t="shared" si="22"/>
        <v>17.199999999999974</v>
      </c>
      <c r="D183" s="231">
        <f>15+[1]!STEPLOAD(5)</f>
        <v>20</v>
      </c>
      <c r="E183" s="212">
        <f t="shared" si="24"/>
        <v>40.821060865982474</v>
      </c>
      <c r="F183" s="212">
        <f t="shared" si="25"/>
        <v>0.5</v>
      </c>
      <c r="G183" s="212">
        <f>5</f>
        <v>5</v>
      </c>
      <c r="H183" s="212">
        <f t="shared" si="23"/>
        <v>48.208818806011458</v>
      </c>
      <c r="I183" s="212">
        <f t="shared" si="26"/>
        <v>0.9</v>
      </c>
      <c r="J183" s="212">
        <f>1</f>
        <v>1</v>
      </c>
      <c r="K183" s="212">
        <f t="shared" si="27"/>
        <v>4.1870000000000003</v>
      </c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212"/>
      <c r="AA183" s="212"/>
      <c r="AB183" s="212"/>
      <c r="AC183" s="196"/>
      <c r="AD183" s="27"/>
      <c r="AE183" s="213"/>
      <c r="AF183" s="212">
        <f t="shared" si="28"/>
        <v>-9.5989490099834818E-3</v>
      </c>
      <c r="AG183" s="212"/>
      <c r="AH183" s="212"/>
      <c r="AI183" s="212"/>
      <c r="AJ183" s="212"/>
      <c r="AK183" s="212"/>
      <c r="AL183" s="212"/>
      <c r="AM183" s="212"/>
      <c r="AN183" s="212"/>
      <c r="AO183" s="212"/>
      <c r="AP183" s="196"/>
      <c r="AQ183" s="196"/>
      <c r="AR183" s="211"/>
      <c r="AS183" s="212">
        <f t="shared" si="20"/>
        <v>-2.6936194379899802E-4</v>
      </c>
      <c r="AT183" s="212">
        <f>[1]!LIM(AT182+Mode*r0*((1+IntegrationStep/2/Ti+Td/IntegrationStep)*AS183-(1-IntegrationStep/2/Ti+2*Td/IntegrationStep)*AS182+Td/IntegrationStep*AS181))</f>
        <v>0.40174015671676216</v>
      </c>
      <c r="AU183" s="212">
        <f t="shared" si="21"/>
        <v>40.794124671602574</v>
      </c>
      <c r="AW183" s="58"/>
      <c r="AX183" s="58"/>
      <c r="AY183" s="58"/>
      <c r="AZ183" s="58"/>
    </row>
    <row r="184" spans="1:52" s="185" customFormat="1" ht="15" customHeight="1" x14ac:dyDescent="0.25">
      <c r="A184" s="200"/>
      <c r="B184" s="211"/>
      <c r="C184" s="212">
        <f t="shared" si="22"/>
        <v>17.299999999999976</v>
      </c>
      <c r="D184" s="231">
        <f>15+[1]!STEPLOAD(5)</f>
        <v>20</v>
      </c>
      <c r="E184" s="212">
        <f t="shared" si="24"/>
        <v>40.820100971081473</v>
      </c>
      <c r="F184" s="212">
        <f t="shared" si="25"/>
        <v>0.5</v>
      </c>
      <c r="G184" s="212">
        <f>5</f>
        <v>5</v>
      </c>
      <c r="H184" s="212">
        <f t="shared" si="23"/>
        <v>48.214191603111246</v>
      </c>
      <c r="I184" s="212">
        <f t="shared" si="26"/>
        <v>0.9</v>
      </c>
      <c r="J184" s="212">
        <f>1</f>
        <v>1</v>
      </c>
      <c r="K184" s="212">
        <f t="shared" si="27"/>
        <v>4.1870000000000003</v>
      </c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212"/>
      <c r="AA184" s="212"/>
      <c r="AB184" s="212"/>
      <c r="AC184" s="196"/>
      <c r="AD184" s="27"/>
      <c r="AE184" s="213"/>
      <c r="AF184" s="212">
        <f t="shared" si="28"/>
        <v>-9.2719818561710632E-3</v>
      </c>
      <c r="AG184" s="212"/>
      <c r="AH184" s="212"/>
      <c r="AI184" s="212"/>
      <c r="AJ184" s="212"/>
      <c r="AK184" s="212"/>
      <c r="AL184" s="212"/>
      <c r="AM184" s="212"/>
      <c r="AN184" s="212"/>
      <c r="AO184" s="212"/>
      <c r="AP184" s="196"/>
      <c r="AQ184" s="196"/>
      <c r="AR184" s="211"/>
      <c r="AS184" s="212">
        <f t="shared" si="20"/>
        <v>-2.5976299478898569E-4</v>
      </c>
      <c r="AT184" s="212">
        <f>[1]!LIM(AT183+Mode*r0*((1+IntegrationStep/2/Ti+Td/IntegrationStep)*AS184-(1-IntegrationStep/2/Ti+2*Td/IntegrationStep)*AS183+Td/IntegrationStep*AS182))</f>
        <v>0.40178493002592708</v>
      </c>
      <c r="AU184" s="212">
        <f t="shared" si="21"/>
        <v>40.794124671602574</v>
      </c>
      <c r="AW184" s="58"/>
      <c r="AX184" s="58"/>
      <c r="AY184" s="58"/>
      <c r="AZ184" s="58"/>
    </row>
    <row r="185" spans="1:52" s="185" customFormat="1" ht="15" customHeight="1" x14ac:dyDescent="0.25">
      <c r="A185" s="200"/>
      <c r="B185" s="211"/>
      <c r="C185" s="212">
        <f t="shared" si="22"/>
        <v>17.399999999999977</v>
      </c>
      <c r="D185" s="231">
        <f>15+[1]!STEPLOAD(5)</f>
        <v>20</v>
      </c>
      <c r="E185" s="212">
        <f t="shared" si="24"/>
        <v>40.819173772895859</v>
      </c>
      <c r="F185" s="212">
        <f t="shared" si="25"/>
        <v>0.5</v>
      </c>
      <c r="G185" s="212">
        <f>5</f>
        <v>5</v>
      </c>
      <c r="H185" s="212">
        <f t="shared" si="23"/>
        <v>48.219400455278567</v>
      </c>
      <c r="I185" s="212">
        <f t="shared" si="26"/>
        <v>0.9</v>
      </c>
      <c r="J185" s="212">
        <f>1</f>
        <v>1</v>
      </c>
      <c r="K185" s="212">
        <f t="shared" si="27"/>
        <v>4.1870000000000003</v>
      </c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212"/>
      <c r="AA185" s="212"/>
      <c r="AB185" s="212"/>
      <c r="AC185" s="196"/>
      <c r="AD185" s="27"/>
      <c r="AE185" s="213"/>
      <c r="AF185" s="212">
        <f t="shared" si="28"/>
        <v>-8.9553324006099722E-3</v>
      </c>
      <c r="AG185" s="212"/>
      <c r="AH185" s="212"/>
      <c r="AI185" s="212"/>
      <c r="AJ185" s="212"/>
      <c r="AK185" s="212"/>
      <c r="AL185" s="212"/>
      <c r="AM185" s="212"/>
      <c r="AN185" s="212"/>
      <c r="AO185" s="212"/>
      <c r="AP185" s="196"/>
      <c r="AQ185" s="196"/>
      <c r="AR185" s="211"/>
      <c r="AS185" s="212">
        <f t="shared" si="20"/>
        <v>-2.5049101293284082E-4</v>
      </c>
      <c r="AT185" s="212">
        <f>[1]!LIM(AT184+Mode*r0*((1+IntegrationStep/2/Ti+Td/IntegrationStep)*AS185-(1-IntegrationStep/2/Ti+2*Td/IntegrationStep)*AS184+Td/IntegrationStep*AS183))</f>
        <v>0.40182833712732141</v>
      </c>
      <c r="AU185" s="212">
        <f t="shared" si="21"/>
        <v>40.794124671602574</v>
      </c>
      <c r="AW185" s="58"/>
      <c r="AX185" s="58"/>
      <c r="AY185" s="58"/>
      <c r="AZ185" s="58"/>
    </row>
    <row r="186" spans="1:52" s="185" customFormat="1" ht="15" customHeight="1" x14ac:dyDescent="0.25">
      <c r="A186" s="200"/>
      <c r="B186" s="211"/>
      <c r="C186" s="212">
        <f t="shared" si="22"/>
        <v>17.499999999999979</v>
      </c>
      <c r="D186" s="231">
        <f>15+[1]!STEPLOAD(5)</f>
        <v>20</v>
      </c>
      <c r="E186" s="212">
        <f t="shared" si="24"/>
        <v>40.818278239655797</v>
      </c>
      <c r="F186" s="212">
        <f t="shared" si="25"/>
        <v>0.5</v>
      </c>
      <c r="G186" s="212">
        <f>5</f>
        <v>5</v>
      </c>
      <c r="H186" s="212">
        <f t="shared" si="23"/>
        <v>48.224449452996716</v>
      </c>
      <c r="I186" s="212">
        <f t="shared" si="26"/>
        <v>0.9</v>
      </c>
      <c r="J186" s="212">
        <f>1</f>
        <v>1</v>
      </c>
      <c r="K186" s="212">
        <f t="shared" si="27"/>
        <v>4.1870000000000003</v>
      </c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212"/>
      <c r="AA186" s="212"/>
      <c r="AB186" s="212"/>
      <c r="AC186" s="196"/>
      <c r="AD186" s="27"/>
      <c r="AE186" s="213"/>
      <c r="AF186" s="212">
        <f t="shared" si="28"/>
        <v>-8.6487216155899382E-3</v>
      </c>
      <c r="AG186" s="212"/>
      <c r="AH186" s="212"/>
      <c r="AI186" s="212"/>
      <c r="AJ186" s="212"/>
      <c r="AK186" s="212"/>
      <c r="AL186" s="212"/>
      <c r="AM186" s="212"/>
      <c r="AN186" s="212"/>
      <c r="AO186" s="212"/>
      <c r="AP186" s="196"/>
      <c r="AQ186" s="196"/>
      <c r="AR186" s="211"/>
      <c r="AS186" s="212">
        <f t="shared" si="20"/>
        <v>-2.4153568053222329E-4</v>
      </c>
      <c r="AT186" s="212">
        <f>[1]!LIM(AT185+Mode*r0*((1+IntegrationStep/2/Ti+Td/IntegrationStep)*AS186-(1-IntegrationStep/2/Ti+2*Td/IntegrationStep)*AS185+Td/IntegrationStep*AS184))</f>
        <v>0.40187041210830599</v>
      </c>
      <c r="AU186" s="212">
        <f t="shared" si="21"/>
        <v>40.794124671602574</v>
      </c>
      <c r="AW186" s="58"/>
      <c r="AX186" s="58"/>
      <c r="AY186" s="58"/>
      <c r="AZ186" s="58"/>
    </row>
    <row r="187" spans="1:52" s="185" customFormat="1" ht="15" customHeight="1" x14ac:dyDescent="0.25">
      <c r="A187" s="200"/>
      <c r="B187" s="211"/>
      <c r="C187" s="212">
        <f t="shared" si="22"/>
        <v>17.59999999999998</v>
      </c>
      <c r="D187" s="231">
        <f>15+[1]!STEPLOAD(5)</f>
        <v>20</v>
      </c>
      <c r="E187" s="212">
        <f t="shared" si="24"/>
        <v>40.81741336749424</v>
      </c>
      <c r="F187" s="212">
        <f t="shared" si="25"/>
        <v>0.5</v>
      </c>
      <c r="G187" s="212">
        <f>5</f>
        <v>5</v>
      </c>
      <c r="H187" s="212">
        <f t="shared" si="23"/>
        <v>48.229342642517153</v>
      </c>
      <c r="I187" s="212">
        <f t="shared" si="26"/>
        <v>0.9</v>
      </c>
      <c r="J187" s="212">
        <f>1</f>
        <v>1</v>
      </c>
      <c r="K187" s="212">
        <f t="shared" si="27"/>
        <v>4.1870000000000003</v>
      </c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212"/>
      <c r="AA187" s="212"/>
      <c r="AB187" s="212"/>
      <c r="AC187" s="196"/>
      <c r="AD187" s="27"/>
      <c r="AE187" s="213"/>
      <c r="AF187" s="212">
        <f t="shared" si="28"/>
        <v>-8.3518751652138512E-3</v>
      </c>
      <c r="AG187" s="212"/>
      <c r="AH187" s="212"/>
      <c r="AI187" s="212"/>
      <c r="AJ187" s="212"/>
      <c r="AK187" s="212"/>
      <c r="AL187" s="212"/>
      <c r="AM187" s="212"/>
      <c r="AN187" s="212"/>
      <c r="AO187" s="212"/>
      <c r="AP187" s="196"/>
      <c r="AQ187" s="196"/>
      <c r="AR187" s="211"/>
      <c r="AS187" s="212">
        <f t="shared" si="20"/>
        <v>-2.3288695891665156E-4</v>
      </c>
      <c r="AT187" s="212">
        <f>[1]!LIM(AT186+Mode*r0*((1+IntegrationStep/2/Ti+Td/IntegrationStep)*AS187-(1-IntegrationStep/2/Ti+2*Td/IntegrationStep)*AS186+Td/IntegrationStep*AS185))</f>
        <v>0.40191118868764292</v>
      </c>
      <c r="AU187" s="212">
        <f t="shared" si="21"/>
        <v>40.794124671602574</v>
      </c>
      <c r="AW187" s="58"/>
      <c r="AX187" s="58"/>
      <c r="AY187" s="58"/>
      <c r="AZ187" s="58"/>
    </row>
    <row r="188" spans="1:52" s="185" customFormat="1" ht="15" customHeight="1" x14ac:dyDescent="0.25">
      <c r="A188" s="200"/>
      <c r="B188" s="211"/>
      <c r="C188" s="212">
        <f t="shared" si="22"/>
        <v>17.699999999999982</v>
      </c>
      <c r="D188" s="231">
        <f>15+[1]!STEPLOAD(5)</f>
        <v>20</v>
      </c>
      <c r="E188" s="212">
        <f t="shared" si="24"/>
        <v>40.816578179977718</v>
      </c>
      <c r="F188" s="212">
        <f t="shared" si="25"/>
        <v>0.5</v>
      </c>
      <c r="G188" s="212">
        <f>5</f>
        <v>5</v>
      </c>
      <c r="H188" s="212">
        <f t="shared" si="23"/>
        <v>48.234084021854514</v>
      </c>
      <c r="I188" s="212">
        <f t="shared" si="26"/>
        <v>0.9</v>
      </c>
      <c r="J188" s="212">
        <f>1</f>
        <v>1</v>
      </c>
      <c r="K188" s="212">
        <f t="shared" si="27"/>
        <v>4.1870000000000003</v>
      </c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212"/>
      <c r="AA188" s="212"/>
      <c r="AB188" s="212"/>
      <c r="AC188" s="196"/>
      <c r="AD188" s="27"/>
      <c r="AE188" s="213"/>
      <c r="AF188" s="212">
        <f t="shared" si="28"/>
        <v>-8.0645235306566754E-3</v>
      </c>
      <c r="AG188" s="212"/>
      <c r="AH188" s="212"/>
      <c r="AI188" s="212"/>
      <c r="AJ188" s="212"/>
      <c r="AK188" s="212"/>
      <c r="AL188" s="212"/>
      <c r="AM188" s="212"/>
      <c r="AN188" s="212"/>
      <c r="AO188" s="212"/>
      <c r="AP188" s="196"/>
      <c r="AQ188" s="196"/>
      <c r="AR188" s="211"/>
      <c r="AS188" s="212">
        <f t="shared" si="20"/>
        <v>-2.2453508375143373E-4</v>
      </c>
      <c r="AT188" s="212">
        <f>[1]!LIM(AT187+Mode*r0*((1+IntegrationStep/2/Ti+Td/IntegrationStep)*AS188-(1-IntegrationStep/2/Ti+2*Td/IntegrationStep)*AS187+Td/IntegrationStep*AS186))</f>
        <v>0.40195070018212092</v>
      </c>
      <c r="AU188" s="212">
        <f t="shared" si="21"/>
        <v>40.794124671602574</v>
      </c>
      <c r="AW188" s="58"/>
      <c r="AX188" s="58"/>
      <c r="AY188" s="58"/>
      <c r="AZ188" s="58"/>
    </row>
    <row r="189" spans="1:52" s="185" customFormat="1" ht="15" customHeight="1" x14ac:dyDescent="0.25">
      <c r="A189" s="200"/>
      <c r="B189" s="211"/>
      <c r="C189" s="212">
        <f t="shared" si="22"/>
        <v>17.799999999999983</v>
      </c>
      <c r="D189" s="231">
        <f>15+[1]!STEPLOAD(5)</f>
        <v>20</v>
      </c>
      <c r="E189" s="212">
        <f t="shared" si="24"/>
        <v>40.81577172762465</v>
      </c>
      <c r="F189" s="212">
        <f t="shared" si="25"/>
        <v>0.5</v>
      </c>
      <c r="G189" s="212">
        <f>5</f>
        <v>5</v>
      </c>
      <c r="H189" s="212">
        <f t="shared" si="23"/>
        <v>48.238677537220354</v>
      </c>
      <c r="I189" s="212">
        <f t="shared" si="26"/>
        <v>0.9</v>
      </c>
      <c r="J189" s="212">
        <f>1</f>
        <v>1</v>
      </c>
      <c r="K189" s="212">
        <f t="shared" si="27"/>
        <v>4.1870000000000003</v>
      </c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212"/>
      <c r="AA189" s="212"/>
      <c r="AB189" s="212"/>
      <c r="AC189" s="196"/>
      <c r="AD189" s="27"/>
      <c r="AE189" s="213"/>
      <c r="AF189" s="212">
        <f t="shared" si="28"/>
        <v>-7.7864021153040142E-3</v>
      </c>
      <c r="AG189" s="212"/>
      <c r="AH189" s="212"/>
      <c r="AI189" s="212"/>
      <c r="AJ189" s="212"/>
      <c r="AK189" s="212"/>
      <c r="AL189" s="212"/>
      <c r="AM189" s="212"/>
      <c r="AN189" s="212"/>
      <c r="AO189" s="212"/>
      <c r="AP189" s="196"/>
      <c r="AQ189" s="196"/>
      <c r="AR189" s="211"/>
      <c r="AS189" s="212">
        <f t="shared" si="20"/>
        <v>-2.1647056022075617E-4</v>
      </c>
      <c r="AT189" s="212">
        <f>[1]!LIM(AT188+Mode*r0*((1+IntegrationStep/2/Ti+Td/IntegrationStep)*AS189-(1-IntegrationStep/2/Ti+2*Td/IntegrationStep)*AS188+Td/IntegrationStep*AS187))</f>
        <v>0.40198897947683632</v>
      </c>
      <c r="AU189" s="212">
        <f t="shared" si="21"/>
        <v>40.794124671602574</v>
      </c>
      <c r="AW189" s="58"/>
      <c r="AX189" s="58"/>
      <c r="AY189" s="58"/>
      <c r="AZ189" s="58"/>
    </row>
    <row r="190" spans="1:52" s="185" customFormat="1" ht="15" customHeight="1" x14ac:dyDescent="0.25">
      <c r="A190" s="200"/>
      <c r="B190" s="211"/>
      <c r="C190" s="212">
        <f t="shared" si="22"/>
        <v>17.899999999999984</v>
      </c>
      <c r="D190" s="231">
        <f>15+[1]!STEPLOAD(5)</f>
        <v>20</v>
      </c>
      <c r="E190" s="212">
        <f t="shared" si="24"/>
        <v>40.814993087413121</v>
      </c>
      <c r="F190" s="212">
        <f t="shared" si="25"/>
        <v>0.5</v>
      </c>
      <c r="G190" s="212">
        <f>5</f>
        <v>5</v>
      </c>
      <c r="H190" s="212">
        <f t="shared" si="23"/>
        <v>48.243127079865531</v>
      </c>
      <c r="I190" s="212">
        <f t="shared" si="26"/>
        <v>0.9</v>
      </c>
      <c r="J190" s="212">
        <f>1</f>
        <v>1</v>
      </c>
      <c r="K190" s="212">
        <f t="shared" si="27"/>
        <v>4.1870000000000003</v>
      </c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212"/>
      <c r="AA190" s="212"/>
      <c r="AB190" s="212"/>
      <c r="AC190" s="196"/>
      <c r="AD190" s="27"/>
      <c r="AE190" s="213"/>
      <c r="AF190" s="212">
        <f t="shared" si="28"/>
        <v>-7.5172513312820044E-3</v>
      </c>
      <c r="AG190" s="212"/>
      <c r="AH190" s="212"/>
      <c r="AI190" s="212"/>
      <c r="AJ190" s="212"/>
      <c r="AK190" s="212"/>
      <c r="AL190" s="212"/>
      <c r="AM190" s="212"/>
      <c r="AN190" s="212"/>
      <c r="AO190" s="212"/>
      <c r="AP190" s="196"/>
      <c r="AQ190" s="196"/>
      <c r="AR190" s="211"/>
      <c r="AS190" s="212">
        <f t="shared" si="20"/>
        <v>-2.0868415810546993E-4</v>
      </c>
      <c r="AT190" s="212">
        <f>[1]!LIM(AT189+Mode*r0*((1+IntegrationStep/2/Ti+Td/IntegrationStep)*AS190-(1-IntegrationStep/2/Ti+2*Td/IntegrationStep)*AS189+Td/IntegrationStep*AS188))</f>
        <v>0.40202605899887944</v>
      </c>
      <c r="AU190" s="212">
        <f t="shared" si="21"/>
        <v>40.794124671602574</v>
      </c>
      <c r="AW190" s="58"/>
      <c r="AX190" s="58"/>
      <c r="AY190" s="58"/>
      <c r="AZ190" s="58"/>
    </row>
    <row r="191" spans="1:52" s="185" customFormat="1" ht="15" customHeight="1" x14ac:dyDescent="0.25">
      <c r="A191" s="200"/>
      <c r="B191" s="211"/>
      <c r="C191" s="212">
        <f t="shared" si="22"/>
        <v>17.999999999999986</v>
      </c>
      <c r="D191" s="231">
        <f>15+[1]!STEPLOAD(5)</f>
        <v>20</v>
      </c>
      <c r="E191" s="212">
        <f t="shared" si="24"/>
        <v>40.814241362279994</v>
      </c>
      <c r="F191" s="212">
        <f t="shared" si="25"/>
        <v>0.5</v>
      </c>
      <c r="G191" s="212">
        <f>5</f>
        <v>5</v>
      </c>
      <c r="H191" s="212">
        <f t="shared" si="23"/>
        <v>48.247436483302046</v>
      </c>
      <c r="I191" s="212">
        <f t="shared" si="26"/>
        <v>0.9</v>
      </c>
      <c r="J191" s="212">
        <f>1</f>
        <v>1</v>
      </c>
      <c r="K191" s="212">
        <f t="shared" si="27"/>
        <v>4.1870000000000003</v>
      </c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212"/>
      <c r="AA191" s="212"/>
      <c r="AB191" s="212"/>
      <c r="AC191" s="196"/>
      <c r="AD191" s="27"/>
      <c r="AE191" s="213"/>
      <c r="AF191" s="212">
        <f t="shared" si="28"/>
        <v>-7.2568166688000701E-3</v>
      </c>
      <c r="AG191" s="212"/>
      <c r="AH191" s="212"/>
      <c r="AI191" s="212"/>
      <c r="AJ191" s="212"/>
      <c r="AK191" s="212"/>
      <c r="AL191" s="212"/>
      <c r="AM191" s="212"/>
      <c r="AN191" s="212"/>
      <c r="AO191" s="212"/>
      <c r="AP191" s="196"/>
      <c r="AQ191" s="196"/>
      <c r="AR191" s="211"/>
      <c r="AS191" s="212">
        <f t="shared" si="20"/>
        <v>-2.0116690677419058E-4</v>
      </c>
      <c r="AT191" s="212">
        <f>[1]!LIM(AT190+Mode*r0*((1+IntegrationStep/2/Ti+Td/IntegrationStep)*AS191-(1-IntegrationStep/2/Ti+2*Td/IntegrationStep)*AS190+Td/IntegrationStep*AS189))</f>
        <v>0.4020619706941837</v>
      </c>
      <c r="AU191" s="212">
        <f t="shared" si="21"/>
        <v>40.794124671602574</v>
      </c>
      <c r="AW191" s="58"/>
      <c r="AX191" s="58"/>
      <c r="AY191" s="58"/>
      <c r="AZ191" s="58"/>
    </row>
    <row r="192" spans="1:52" s="185" customFormat="1" ht="15" customHeight="1" x14ac:dyDescent="0.25">
      <c r="A192" s="200"/>
      <c r="B192" s="211"/>
      <c r="C192" s="212">
        <f t="shared" si="22"/>
        <v>18.099999999999987</v>
      </c>
      <c r="D192" s="231">
        <f>15+[1]!STEPLOAD(5)</f>
        <v>20</v>
      </c>
      <c r="E192" s="212">
        <f t="shared" si="24"/>
        <v>40.813515680613115</v>
      </c>
      <c r="F192" s="212">
        <f t="shared" si="25"/>
        <v>0.5</v>
      </c>
      <c r="G192" s="212">
        <f>5</f>
        <v>5</v>
      </c>
      <c r="H192" s="212">
        <f t="shared" si="23"/>
        <v>48.251609520876066</v>
      </c>
      <c r="I192" s="212">
        <f t="shared" si="26"/>
        <v>0.9</v>
      </c>
      <c r="J192" s="212">
        <f>1</f>
        <v>1</v>
      </c>
      <c r="K192" s="212">
        <f t="shared" si="27"/>
        <v>4.1870000000000003</v>
      </c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212"/>
      <c r="AA192" s="212"/>
      <c r="AB192" s="212"/>
      <c r="AC192" s="196"/>
      <c r="AD192" s="27"/>
      <c r="AE192" s="213"/>
      <c r="AF192" s="212">
        <f t="shared" si="28"/>
        <v>-7.004848749706305E-3</v>
      </c>
      <c r="AG192" s="212"/>
      <c r="AH192" s="212"/>
      <c r="AI192" s="212"/>
      <c r="AJ192" s="212"/>
      <c r="AK192" s="212"/>
      <c r="AL192" s="212"/>
      <c r="AM192" s="212"/>
      <c r="AN192" s="212"/>
      <c r="AO192" s="212"/>
      <c r="AP192" s="196"/>
      <c r="AQ192" s="196"/>
      <c r="AR192" s="211"/>
      <c r="AS192" s="212">
        <f t="shared" si="20"/>
        <v>-1.9391009010540471E-4</v>
      </c>
      <c r="AT192" s="212">
        <f>[1]!LIM(AT191+Mode*r0*((1+IntegrationStep/2/Ti+Td/IntegrationStep)*AS192-(1-IntegrationStep/2/Ti+2*Td/IntegrationStep)*AS191+Td/IntegrationStep*AS190))</f>
        <v>0.40209674600730055</v>
      </c>
      <c r="AU192" s="212">
        <f t="shared" si="21"/>
        <v>40.794124671602574</v>
      </c>
      <c r="AW192" s="58"/>
      <c r="AX192" s="58"/>
      <c r="AY192" s="58"/>
      <c r="AZ192" s="58"/>
    </row>
    <row r="193" spans="1:52" s="185" customFormat="1" ht="15" customHeight="1" x14ac:dyDescent="0.25">
      <c r="A193" s="200"/>
      <c r="B193" s="211"/>
      <c r="C193" s="212">
        <f t="shared" si="22"/>
        <v>18.199999999999989</v>
      </c>
      <c r="D193" s="231">
        <f>15+[1]!STEPLOAD(5)</f>
        <v>20</v>
      </c>
      <c r="E193" s="212">
        <f t="shared" si="24"/>
        <v>40.812815195738146</v>
      </c>
      <c r="F193" s="212">
        <f t="shared" si="25"/>
        <v>0.5</v>
      </c>
      <c r="G193" s="212">
        <f>5</f>
        <v>5</v>
      </c>
      <c r="H193" s="212">
        <f t="shared" si="23"/>
        <v>48.255649903667631</v>
      </c>
      <c r="I193" s="212">
        <f t="shared" si="26"/>
        <v>0.9</v>
      </c>
      <c r="J193" s="212">
        <f>1</f>
        <v>1</v>
      </c>
      <c r="K193" s="212">
        <f t="shared" si="27"/>
        <v>4.1870000000000003</v>
      </c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212"/>
      <c r="AA193" s="212"/>
      <c r="AB193" s="212"/>
      <c r="AC193" s="196"/>
      <c r="AD193" s="27"/>
      <c r="AE193" s="213"/>
      <c r="AF193" s="212">
        <f t="shared" si="28"/>
        <v>-6.7611033664651821E-3</v>
      </c>
      <c r="AG193" s="212"/>
      <c r="AH193" s="212"/>
      <c r="AI193" s="212"/>
      <c r="AJ193" s="212"/>
      <c r="AK193" s="212"/>
      <c r="AL193" s="212"/>
      <c r="AM193" s="212"/>
      <c r="AN193" s="212"/>
      <c r="AO193" s="212"/>
      <c r="AP193" s="196"/>
      <c r="AQ193" s="196"/>
      <c r="AR193" s="211"/>
      <c r="AS193" s="212">
        <f t="shared" si="20"/>
        <v>-1.8690524135571706E-4</v>
      </c>
      <c r="AT193" s="212">
        <f>[1]!LIM(AT192+Mode*r0*((1+IntegrationStep/2/Ti+Td/IntegrationStep)*AS193-(1-IntegrationStep/2/Ti+2*Td/IntegrationStep)*AS192+Td/IntegrationStep*AS191))</f>
        <v>0.40213041586389692</v>
      </c>
      <c r="AU193" s="212">
        <f t="shared" si="21"/>
        <v>40.794124671602574</v>
      </c>
      <c r="AW193" s="58"/>
      <c r="AX193" s="58"/>
      <c r="AY193" s="58"/>
      <c r="AZ193" s="58"/>
    </row>
    <row r="194" spans="1:52" s="185" customFormat="1" ht="15" customHeight="1" x14ac:dyDescent="0.25">
      <c r="A194" s="200"/>
      <c r="B194" s="211"/>
      <c r="C194" s="212">
        <f t="shared" si="22"/>
        <v>18.29999999999999</v>
      </c>
      <c r="D194" s="231">
        <f>15+[1]!STEPLOAD(5)</f>
        <v>20</v>
      </c>
      <c r="E194" s="212">
        <f t="shared" si="24"/>
        <v>40.812139085401498</v>
      </c>
      <c r="F194" s="212">
        <f t="shared" si="25"/>
        <v>0.5</v>
      </c>
      <c r="G194" s="212">
        <f>5</f>
        <v>5</v>
      </c>
      <c r="H194" s="212">
        <f t="shared" si="23"/>
        <v>48.259561278692047</v>
      </c>
      <c r="I194" s="212">
        <f t="shared" si="26"/>
        <v>0.9</v>
      </c>
      <c r="J194" s="212">
        <f>1</f>
        <v>1</v>
      </c>
      <c r="K194" s="212">
        <f t="shared" si="27"/>
        <v>4.1870000000000003</v>
      </c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2"/>
      <c r="AB194" s="212"/>
      <c r="AC194" s="196"/>
      <c r="AD194" s="27"/>
      <c r="AE194" s="213"/>
      <c r="AF194" s="212">
        <f t="shared" si="28"/>
        <v>-6.5253415077717314E-3</v>
      </c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196"/>
      <c r="AQ194" s="196"/>
      <c r="AR194" s="211"/>
      <c r="AS194" s="212">
        <f t="shared" si="20"/>
        <v>-1.8014413798923102E-4</v>
      </c>
      <c r="AT194" s="212">
        <f>[1]!LIM(AT193+Mode*r0*((1+IntegrationStep/2/Ti+Td/IntegrationStep)*AS194-(1-IntegrationStep/2/Ti+2*Td/IntegrationStep)*AS193+Td/IntegrationStep*AS192))</f>
        <v>0.40216301065576704</v>
      </c>
      <c r="AU194" s="212">
        <f t="shared" si="21"/>
        <v>40.794124671602574</v>
      </c>
      <c r="AW194" s="58"/>
      <c r="AX194" s="58"/>
      <c r="AY194" s="58"/>
      <c r="AZ194" s="58"/>
    </row>
    <row r="195" spans="1:52" s="185" customFormat="1" ht="15" customHeight="1" x14ac:dyDescent="0.25">
      <c r="A195" s="200"/>
      <c r="B195" s="211"/>
      <c r="C195" s="212">
        <f t="shared" si="22"/>
        <v>18.399999999999991</v>
      </c>
      <c r="D195" s="231">
        <f>15+[1]!STEPLOAD(5)</f>
        <v>20</v>
      </c>
      <c r="E195" s="212">
        <f t="shared" si="24"/>
        <v>40.811486551250724</v>
      </c>
      <c r="F195" s="212">
        <f t="shared" si="25"/>
        <v>0.5</v>
      </c>
      <c r="G195" s="212">
        <f>5</f>
        <v>5</v>
      </c>
      <c r="H195" s="212">
        <f t="shared" si="23"/>
        <v>48.263347227380379</v>
      </c>
      <c r="I195" s="212">
        <f t="shared" si="26"/>
        <v>0.9</v>
      </c>
      <c r="J195" s="212">
        <f>1</f>
        <v>1</v>
      </c>
      <c r="K195" s="212">
        <f t="shared" si="27"/>
        <v>4.1870000000000003</v>
      </c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2"/>
      <c r="AB195" s="212"/>
      <c r="AC195" s="196"/>
      <c r="AD195" s="27"/>
      <c r="AE195" s="213"/>
      <c r="AF195" s="212">
        <f t="shared" si="28"/>
        <v>-6.2973293719159606E-3</v>
      </c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196"/>
      <c r="AQ195" s="196"/>
      <c r="AR195" s="211"/>
      <c r="AS195" s="212">
        <f t="shared" si="20"/>
        <v>-1.7361879648149171E-4</v>
      </c>
      <c r="AT195" s="212">
        <f>[1]!LIM(AT194+Mode*r0*((1+IntegrationStep/2/Ti+Td/IntegrationStep)*AS195-(1-IntegrationStep/2/Ti+2*Td/IntegrationStep)*AS194+Td/IntegrationStep*AS193))</f>
        <v>0.40219456022816985</v>
      </c>
      <c r="AU195" s="212">
        <f t="shared" si="21"/>
        <v>40.794124671602574</v>
      </c>
      <c r="AW195" s="58"/>
      <c r="AX195" s="58"/>
      <c r="AY195" s="58"/>
      <c r="AZ195" s="58"/>
    </row>
    <row r="196" spans="1:52" s="185" customFormat="1" ht="15" customHeight="1" x14ac:dyDescent="0.25">
      <c r="A196" s="200"/>
      <c r="B196" s="211"/>
      <c r="C196" s="212">
        <f t="shared" si="22"/>
        <v>18.499999999999993</v>
      </c>
      <c r="D196" s="231">
        <f>15+[1]!STEPLOAD(5)</f>
        <v>20</v>
      </c>
      <c r="E196" s="212">
        <f t="shared" si="24"/>
        <v>40.810856818313532</v>
      </c>
      <c r="F196" s="212">
        <f t="shared" si="25"/>
        <v>0.5</v>
      </c>
      <c r="G196" s="212">
        <f>5</f>
        <v>5</v>
      </c>
      <c r="H196" s="212">
        <f t="shared" si="23"/>
        <v>48.267011264319038</v>
      </c>
      <c r="I196" s="212">
        <f t="shared" si="26"/>
        <v>0.9</v>
      </c>
      <c r="J196" s="212">
        <f>1</f>
        <v>1</v>
      </c>
      <c r="K196" s="212">
        <f t="shared" si="27"/>
        <v>4.1870000000000003</v>
      </c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2"/>
      <c r="AB196" s="212"/>
      <c r="AC196" s="196"/>
      <c r="AD196" s="27"/>
      <c r="AE196" s="213"/>
      <c r="AF196" s="212">
        <f t="shared" si="28"/>
        <v>-6.076838368867854E-3</v>
      </c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196"/>
      <c r="AQ196" s="196"/>
      <c r="AR196" s="211"/>
      <c r="AS196" s="212">
        <f t="shared" si="20"/>
        <v>-1.6732146710957352E-4</v>
      </c>
      <c r="AT196" s="212">
        <f>[1]!LIM(AT195+Mode*r0*((1+IntegrationStep/2/Ti+Td/IntegrationStep)*AS196-(1-IntegrationStep/2/Ti+2*Td/IntegrationStep)*AS195+Td/IntegrationStep*AS194))</f>
        <v>0.40222509386932531</v>
      </c>
      <c r="AU196" s="212">
        <f t="shared" si="21"/>
        <v>40.794124671602574</v>
      </c>
      <c r="AW196" s="58"/>
      <c r="AX196" s="58"/>
      <c r="AY196" s="58"/>
      <c r="AZ196" s="58"/>
    </row>
    <row r="197" spans="1:52" s="185" customFormat="1" ht="15" customHeight="1" x14ac:dyDescent="0.25">
      <c r="A197" s="200"/>
      <c r="B197" s="211"/>
      <c r="C197" s="212">
        <f t="shared" si="22"/>
        <v>18.599999999999994</v>
      </c>
      <c r="D197" s="231">
        <f>15+[1]!STEPLOAD(5)</f>
        <v>20</v>
      </c>
      <c r="E197" s="212">
        <f t="shared" si="24"/>
        <v>40.810249134476642</v>
      </c>
      <c r="F197" s="212">
        <f t="shared" si="25"/>
        <v>0.5</v>
      </c>
      <c r="G197" s="212">
        <f>5</f>
        <v>5</v>
      </c>
      <c r="H197" s="212">
        <f t="shared" si="23"/>
        <v>48.270556836226419</v>
      </c>
      <c r="I197" s="212">
        <f t="shared" si="26"/>
        <v>0.9</v>
      </c>
      <c r="J197" s="212">
        <f>1</f>
        <v>1</v>
      </c>
      <c r="K197" s="212">
        <f t="shared" si="27"/>
        <v>4.1870000000000003</v>
      </c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2"/>
      <c r="AB197" s="212"/>
      <c r="AC197" s="196"/>
      <c r="AD197" s="27"/>
      <c r="AE197" s="213"/>
      <c r="AF197" s="212">
        <f t="shared" si="28"/>
        <v>-5.8636451121603095E-3</v>
      </c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196"/>
      <c r="AQ197" s="196"/>
      <c r="AR197" s="211"/>
      <c r="AS197" s="212">
        <f t="shared" si="20"/>
        <v>-1.6124462874067547E-4</v>
      </c>
      <c r="AT197" s="212">
        <f>[1]!LIM(AT196+Mode*r0*((1+IntegrationStep/2/Ti+Td/IntegrationStep)*AS197-(1-IntegrationStep/2/Ti+2*Td/IntegrationStep)*AS196+Td/IntegrationStep*AS195))</f>
        <v>0.40225464030188685</v>
      </c>
      <c r="AU197" s="212">
        <f t="shared" si="21"/>
        <v>40.794124671602574</v>
      </c>
      <c r="AW197" s="58"/>
      <c r="AX197" s="58"/>
      <c r="AY197" s="58"/>
      <c r="AZ197" s="58"/>
    </row>
    <row r="198" spans="1:52" s="185" customFormat="1" ht="15" customHeight="1" x14ac:dyDescent="0.25">
      <c r="A198" s="200"/>
      <c r="B198" s="211"/>
      <c r="C198" s="212">
        <f t="shared" si="22"/>
        <v>18.699999999999996</v>
      </c>
      <c r="D198" s="231">
        <f>15+[1]!STEPLOAD(5)</f>
        <v>20</v>
      </c>
      <c r="E198" s="212">
        <f t="shared" si="24"/>
        <v>40.809662769965428</v>
      </c>
      <c r="F198" s="212">
        <f t="shared" si="25"/>
        <v>0.5</v>
      </c>
      <c r="G198" s="212">
        <f>5</f>
        <v>5</v>
      </c>
      <c r="H198" s="212">
        <f t="shared" si="23"/>
        <v>48.273987321149967</v>
      </c>
      <c r="I198" s="212">
        <f t="shared" si="26"/>
        <v>0.9</v>
      </c>
      <c r="J198" s="212">
        <f>1</f>
        <v>1</v>
      </c>
      <c r="K198" s="212">
        <f t="shared" si="27"/>
        <v>4.1870000000000003</v>
      </c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2"/>
      <c r="AB198" s="212"/>
      <c r="AC198" s="196"/>
      <c r="AD198" s="27"/>
      <c r="AE198" s="213"/>
      <c r="AF198" s="212">
        <f t="shared" si="28"/>
        <v>-5.6575314013684874E-3</v>
      </c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196"/>
      <c r="AQ198" s="196"/>
      <c r="AR198" s="211"/>
      <c r="AS198" s="212">
        <f t="shared" si="20"/>
        <v>-1.5538098362853249E-4</v>
      </c>
      <c r="AT198" s="212">
        <f>[1]!LIM(AT197+Mode*r0*((1+IntegrationStep/2/Ti+Td/IntegrationStep)*AS198-(1-IntegrationStep/2/Ti+2*Td/IntegrationStep)*AS197+Td/IntegrationStep*AS196))</f>
        <v>0.40228322767624974</v>
      </c>
      <c r="AU198" s="212">
        <f t="shared" si="21"/>
        <v>40.794124671602574</v>
      </c>
      <c r="AW198" s="58"/>
      <c r="AX198" s="58"/>
      <c r="AY198" s="58"/>
      <c r="AZ198" s="58"/>
    </row>
    <row r="199" spans="1:52" s="185" customFormat="1" ht="15" customHeight="1" x14ac:dyDescent="0.25">
      <c r="A199" s="200"/>
      <c r="B199" s="211"/>
      <c r="C199" s="212">
        <f t="shared" si="22"/>
        <v>18.799999999999997</v>
      </c>
      <c r="D199" s="231">
        <f>15+[1]!STEPLOAD(5)</f>
        <v>20</v>
      </c>
      <c r="E199" s="212">
        <f t="shared" si="24"/>
        <v>40.809097016825291</v>
      </c>
      <c r="F199" s="212">
        <f t="shared" si="25"/>
        <v>0.5</v>
      </c>
      <c r="G199" s="212">
        <f>5</f>
        <v>5</v>
      </c>
      <c r="H199" s="212">
        <f t="shared" si="23"/>
        <v>48.277306027865677</v>
      </c>
      <c r="I199" s="212">
        <f t="shared" si="26"/>
        <v>0.9</v>
      </c>
      <c r="J199" s="212">
        <f>1</f>
        <v>1</v>
      </c>
      <c r="K199" s="212">
        <f t="shared" si="27"/>
        <v>4.1870000000000003</v>
      </c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2"/>
      <c r="AB199" s="212"/>
      <c r="AC199" s="196"/>
      <c r="AD199" s="27"/>
      <c r="AE199" s="213"/>
      <c r="AF199" s="212">
        <f t="shared" si="28"/>
        <v>-5.4582841960657547E-3</v>
      </c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196"/>
      <c r="AQ199" s="196"/>
      <c r="AR199" s="211"/>
      <c r="AS199" s="212">
        <f t="shared" si="20"/>
        <v>-1.4972345222716399E-4</v>
      </c>
      <c r="AT199" s="212">
        <f>[1]!LIM(AT198+Mode*r0*((1+IntegrationStep/2/Ti+Td/IntegrationStep)*AS199-(1-IntegrationStep/2/Ti+2*Td/IntegrationStep)*AS198+Td/IntegrationStep*AS197))</f>
        <v>0.40231088356554734</v>
      </c>
      <c r="AU199" s="212">
        <f t="shared" si="21"/>
        <v>40.794124671602574</v>
      </c>
      <c r="AW199" s="58"/>
      <c r="AX199" s="58"/>
      <c r="AY199" s="58"/>
      <c r="AZ199" s="58"/>
    </row>
    <row r="200" spans="1:52" s="185" customFormat="1" ht="15" customHeight="1" x14ac:dyDescent="0.25">
      <c r="A200" s="200"/>
      <c r="B200" s="211"/>
      <c r="C200" s="212">
        <f t="shared" si="22"/>
        <v>18.899999999999999</v>
      </c>
      <c r="D200" s="231">
        <f>15+[1]!STEPLOAD(5)</f>
        <v>20</v>
      </c>
      <c r="E200" s="212">
        <f t="shared" si="24"/>
        <v>40.808551188405687</v>
      </c>
      <c r="F200" s="212">
        <f t="shared" si="25"/>
        <v>0.5</v>
      </c>
      <c r="G200" s="212">
        <f>5</f>
        <v>5</v>
      </c>
      <c r="H200" s="212">
        <f t="shared" si="23"/>
        <v>48.280516195462738</v>
      </c>
      <c r="I200" s="212">
        <f t="shared" si="26"/>
        <v>0.9</v>
      </c>
      <c r="J200" s="212">
        <f>1</f>
        <v>1</v>
      </c>
      <c r="K200" s="212">
        <f t="shared" si="27"/>
        <v>4.1870000000000003</v>
      </c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2"/>
      <c r="AB200" s="212"/>
      <c r="AC200" s="196"/>
      <c r="AD200" s="27"/>
      <c r="AE200" s="213"/>
      <c r="AF200" s="212">
        <f t="shared" si="28"/>
        <v>-5.2656955820795659E-3</v>
      </c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196"/>
      <c r="AQ200" s="196"/>
      <c r="AR200" s="211"/>
      <c r="AS200" s="212">
        <f t="shared" si="20"/>
        <v>-1.4426516803112577E-4</v>
      </c>
      <c r="AT200" s="212">
        <f>[1]!LIM(AT199+Mode*r0*((1+IntegrationStep/2/Ti+Td/IntegrationStep)*AS200-(1-IntegrationStep/2/Ti+2*Td/IntegrationStep)*AS199+Td/IntegrationStep*AS198))</f>
        <v>0.40233763496218949</v>
      </c>
      <c r="AU200" s="212">
        <f t="shared" si="21"/>
        <v>40.794124671602574</v>
      </c>
      <c r="AW200" s="58"/>
      <c r="AX200" s="58"/>
      <c r="AY200" s="58"/>
      <c r="AZ200" s="58"/>
    </row>
    <row r="201" spans="1:52" s="185" customFormat="1" ht="15" customHeight="1" x14ac:dyDescent="0.25">
      <c r="A201" s="200"/>
      <c r="B201" s="211"/>
      <c r="C201" s="212">
        <f t="shared" si="22"/>
        <v>19</v>
      </c>
      <c r="D201" s="231">
        <f>15+[1]!STEPLOAD(5)</f>
        <v>20</v>
      </c>
      <c r="E201" s="212">
        <f t="shared" si="24"/>
        <v>40.808024618847476</v>
      </c>
      <c r="F201" s="212">
        <f t="shared" si="25"/>
        <v>0.5</v>
      </c>
      <c r="G201" s="212">
        <f>5</f>
        <v>5</v>
      </c>
      <c r="H201" s="212">
        <f t="shared" si="23"/>
        <v>48.283620993099731</v>
      </c>
      <c r="I201" s="212">
        <f t="shared" si="26"/>
        <v>0.9</v>
      </c>
      <c r="J201" s="212">
        <f>1</f>
        <v>1</v>
      </c>
      <c r="K201" s="212">
        <f t="shared" si="27"/>
        <v>4.1870000000000003</v>
      </c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2"/>
      <c r="AB201" s="212"/>
      <c r="AC201" s="196"/>
      <c r="AD201" s="27"/>
      <c r="AE201" s="213"/>
      <c r="AF201" s="212">
        <f t="shared" si="28"/>
        <v>-5.0795627307107516E-3</v>
      </c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196"/>
      <c r="AQ201" s="196"/>
      <c r="AR201" s="211"/>
      <c r="AS201" s="212">
        <f t="shared" si="20"/>
        <v>-1.3899947244901511E-4</v>
      </c>
      <c r="AT201" s="212">
        <f>[1]!LIM(AT200+Mode*r0*((1+IntegrationStep/2/Ti+Td/IntegrationStep)*AS201-(1-IntegrationStep/2/Ti+2*Td/IntegrationStep)*AS200+Td/IntegrationStep*AS199))</f>
        <v>0.40236350827583112</v>
      </c>
      <c r="AU201" s="212">
        <f t="shared" si="21"/>
        <v>40.794124671602574</v>
      </c>
      <c r="AW201" s="58"/>
      <c r="AX201" s="58"/>
      <c r="AY201" s="58"/>
      <c r="AZ201" s="58"/>
    </row>
    <row r="202" spans="1:52" s="185" customFormat="1" ht="15" customHeight="1" x14ac:dyDescent="0.25">
      <c r="A202" s="200"/>
      <c r="B202" s="211"/>
      <c r="C202" s="212">
        <f t="shared" si="22"/>
        <v>19.100000000000001</v>
      </c>
      <c r="D202" s="231">
        <f>15+[1]!STEPLOAD(5)</f>
        <v>20</v>
      </c>
      <c r="E202" s="212">
        <f t="shared" si="24"/>
        <v>40.807516662574407</v>
      </c>
      <c r="F202" s="212">
        <f t="shared" si="25"/>
        <v>0.5</v>
      </c>
      <c r="G202" s="212">
        <f>5</f>
        <v>5</v>
      </c>
      <c r="H202" s="212">
        <f t="shared" si="23"/>
        <v>48.286623519916205</v>
      </c>
      <c r="I202" s="212">
        <f t="shared" si="26"/>
        <v>0.9</v>
      </c>
      <c r="J202" s="212">
        <f>1</f>
        <v>1</v>
      </c>
      <c r="K202" s="212">
        <f t="shared" si="27"/>
        <v>4.1870000000000003</v>
      </c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2"/>
      <c r="AB202" s="212"/>
      <c r="AC202" s="196"/>
      <c r="AD202" s="27"/>
      <c r="AE202" s="213"/>
      <c r="AF202" s="212">
        <f t="shared" si="28"/>
        <v>-4.899687851681378E-3</v>
      </c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196"/>
      <c r="AQ202" s="196"/>
      <c r="AR202" s="211"/>
      <c r="AS202" s="212">
        <f t="shared" si="20"/>
        <v>-1.3391990971832967E-4</v>
      </c>
      <c r="AT202" s="212">
        <f>[1]!LIM(AT201+Mode*r0*((1+IntegrationStep/2/Ti+Td/IntegrationStep)*AS202-(1-IntegrationStep/2/Ti+2*Td/IntegrationStep)*AS201+Td/IntegrationStep*AS200))</f>
        <v>0.40238852933263503</v>
      </c>
      <c r="AU202" s="212">
        <f t="shared" si="21"/>
        <v>40.794124671602574</v>
      </c>
      <c r="AW202" s="58"/>
      <c r="AX202" s="58"/>
      <c r="AY202" s="58"/>
      <c r="AZ202" s="58"/>
    </row>
    <row r="203" spans="1:52" s="185" customFormat="1" ht="15" customHeight="1" x14ac:dyDescent="0.25">
      <c r="A203" s="200"/>
      <c r="B203" s="211"/>
      <c r="C203" s="212">
        <f t="shared" si="22"/>
        <v>19.200000000000003</v>
      </c>
      <c r="D203" s="231">
        <f>15+[1]!STEPLOAD(5)</f>
        <v>20</v>
      </c>
      <c r="E203" s="212">
        <f t="shared" si="24"/>
        <v>40.80702669378924</v>
      </c>
      <c r="F203" s="212">
        <f t="shared" si="25"/>
        <v>0.5</v>
      </c>
      <c r="G203" s="212">
        <f>5</f>
        <v>5</v>
      </c>
      <c r="H203" s="212">
        <f t="shared" si="23"/>
        <v>48.289526805088556</v>
      </c>
      <c r="I203" s="212">
        <f t="shared" si="26"/>
        <v>0.9</v>
      </c>
      <c r="J203" s="212">
        <f>1</f>
        <v>1</v>
      </c>
      <c r="K203" s="212">
        <f t="shared" si="27"/>
        <v>4.1870000000000003</v>
      </c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2"/>
      <c r="AB203" s="212"/>
      <c r="AC203" s="196"/>
      <c r="AD203" s="27"/>
      <c r="AE203" s="213"/>
      <c r="AF203" s="212">
        <f t="shared" si="28"/>
        <v>-4.7258781403427541E-3</v>
      </c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196"/>
      <c r="AQ203" s="196"/>
      <c r="AR203" s="211"/>
      <c r="AS203" s="212">
        <f t="shared" ref="AS203:AS266" si="29">(AU203-E203)/(MeasuredVariableHigher-MeasuredVariableLower)</f>
        <v>-1.2902022186665364E-4</v>
      </c>
      <c r="AT203" s="212">
        <f>[1]!LIM(AT202+Mode*r0*((1+IntegrationStep/2/Ti+Td/IntegrationStep)*AS203-(1-IntegrationStep/2/Ti+2*Td/IntegrationStep)*AS202+Td/IntegrationStep*AS201))</f>
        <v>0.40241272337573797</v>
      </c>
      <c r="AU203" s="212">
        <f t="shared" ref="AU203:AU266" si="30">SetPoint</f>
        <v>40.794124671602574</v>
      </c>
      <c r="AW203" s="58"/>
      <c r="AX203" s="58"/>
      <c r="AY203" s="58"/>
      <c r="AZ203" s="58"/>
    </row>
    <row r="204" spans="1:52" s="185" customFormat="1" ht="15" customHeight="1" x14ac:dyDescent="0.25">
      <c r="A204" s="200"/>
      <c r="B204" s="211"/>
      <c r="C204" s="212">
        <f t="shared" ref="C204:C267" si="31">C203+IntegrationStep</f>
        <v>19.300000000000004</v>
      </c>
      <c r="D204" s="231">
        <f>15+[1]!STEPLOAD(5)</f>
        <v>20</v>
      </c>
      <c r="E204" s="212">
        <f t="shared" si="24"/>
        <v>40.806554105975202</v>
      </c>
      <c r="F204" s="212">
        <f t="shared" si="25"/>
        <v>0.5</v>
      </c>
      <c r="G204" s="212">
        <f>5</f>
        <v>5</v>
      </c>
      <c r="H204" s="212">
        <f t="shared" ref="H204:H267" si="32">ManipulatedVariableHigher*AT204</f>
        <v>48.292333808015393</v>
      </c>
      <c r="I204" s="212">
        <f t="shared" si="26"/>
        <v>0.9</v>
      </c>
      <c r="J204" s="212">
        <f>1</f>
        <v>1</v>
      </c>
      <c r="K204" s="212">
        <f t="shared" si="27"/>
        <v>4.1870000000000003</v>
      </c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2"/>
      <c r="AB204" s="212"/>
      <c r="AC204" s="196"/>
      <c r="AD204" s="27"/>
      <c r="AE204" s="213"/>
      <c r="AF204" s="212">
        <f t="shared" si="28"/>
        <v>-4.5579457198581252E-3</v>
      </c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196"/>
      <c r="AQ204" s="196"/>
      <c r="AR204" s="211"/>
      <c r="AS204" s="212">
        <f t="shared" si="29"/>
        <v>-1.2429434372627669E-4</v>
      </c>
      <c r="AT204" s="212">
        <f>[1]!LIM(AT203+Mode*r0*((1+IntegrationStep/2/Ti+Td/IntegrationStep)*AS204-(1-IntegrationStep/2/Ti+2*Td/IntegrationStep)*AS203+Td/IntegrationStep*AS202))</f>
        <v>0.40243611506679494</v>
      </c>
      <c r="AU204" s="212">
        <f t="shared" si="30"/>
        <v>40.794124671602574</v>
      </c>
      <c r="AW204" s="58"/>
      <c r="AX204" s="58"/>
      <c r="AY204" s="58"/>
      <c r="AZ204" s="58"/>
    </row>
    <row r="205" spans="1:52" s="185" customFormat="1" ht="15" customHeight="1" x14ac:dyDescent="0.25">
      <c r="A205" s="200"/>
      <c r="B205" s="211"/>
      <c r="C205" s="212">
        <f t="shared" si="31"/>
        <v>19.400000000000006</v>
      </c>
      <c r="D205" s="231">
        <f>15+[1]!STEPLOAD(5)</f>
        <v>20</v>
      </c>
      <c r="E205" s="212">
        <f t="shared" ref="E205:E268" si="33">E204+(C205-C204)*AF204</f>
        <v>40.806098311403218</v>
      </c>
      <c r="F205" s="212">
        <f t="shared" ref="F205:F268" si="34">0.5</f>
        <v>0.5</v>
      </c>
      <c r="G205" s="212">
        <f>5</f>
        <v>5</v>
      </c>
      <c r="H205" s="212">
        <f t="shared" si="32"/>
        <v>48.295047418622119</v>
      </c>
      <c r="I205" s="212">
        <f t="shared" ref="I205:I268" si="35">0.9</f>
        <v>0.9</v>
      </c>
      <c r="J205" s="212">
        <f>1</f>
        <v>1</v>
      </c>
      <c r="K205" s="212">
        <f t="shared" ref="K205:K268" si="36">4.187</f>
        <v>4.1870000000000003</v>
      </c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2"/>
      <c r="AB205" s="212"/>
      <c r="AC205" s="196"/>
      <c r="AD205" s="27"/>
      <c r="AE205" s="213"/>
      <c r="AF205" s="212">
        <f t="shared" ref="AF205:AF268" si="37">F205/G205*(D205-E205)+H205*I205/G205/J205/K205</f>
        <v>-4.3957075788263467E-3</v>
      </c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196"/>
      <c r="AQ205" s="196"/>
      <c r="AR205" s="211"/>
      <c r="AS205" s="212">
        <f t="shared" si="29"/>
        <v>-1.1973639800643809E-4</v>
      </c>
      <c r="AT205" s="212">
        <f>[1]!LIM(AT204+Mode*r0*((1+IntegrationStep/2/Ti+Td/IntegrationStep)*AS205-(1-IntegrationStep/2/Ti+2*Td/IntegrationStep)*AS204+Td/IntegrationStep*AS203))</f>
        <v>0.40245872848851766</v>
      </c>
      <c r="AU205" s="212">
        <f t="shared" si="30"/>
        <v>40.794124671602574</v>
      </c>
      <c r="AW205" s="58"/>
      <c r="AX205" s="58"/>
      <c r="AY205" s="58"/>
      <c r="AZ205" s="58"/>
    </row>
    <row r="206" spans="1:52" s="185" customFormat="1" ht="15" customHeight="1" x14ac:dyDescent="0.25">
      <c r="A206" s="200"/>
      <c r="B206" s="211"/>
      <c r="C206" s="212">
        <f t="shared" si="31"/>
        <v>19.500000000000007</v>
      </c>
      <c r="D206" s="231">
        <f>15+[1]!STEPLOAD(5)</f>
        <v>20</v>
      </c>
      <c r="E206" s="212">
        <f t="shared" si="33"/>
        <v>40.805658740645335</v>
      </c>
      <c r="F206" s="212">
        <f t="shared" si="34"/>
        <v>0.5</v>
      </c>
      <c r="G206" s="212">
        <f>5</f>
        <v>5</v>
      </c>
      <c r="H206" s="212">
        <f t="shared" si="32"/>
        <v>48.297670457774259</v>
      </c>
      <c r="I206" s="212">
        <f t="shared" si="35"/>
        <v>0.9</v>
      </c>
      <c r="J206" s="212">
        <f>1</f>
        <v>1</v>
      </c>
      <c r="K206" s="212">
        <f t="shared" si="36"/>
        <v>4.1870000000000003</v>
      </c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2"/>
      <c r="AB206" s="212"/>
      <c r="AC206" s="196"/>
      <c r="AD206" s="27"/>
      <c r="AE206" s="213"/>
      <c r="AF206" s="212">
        <f t="shared" si="37"/>
        <v>-4.2389855048567959E-3</v>
      </c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196"/>
      <c r="AQ206" s="196"/>
      <c r="AR206" s="211"/>
      <c r="AS206" s="212">
        <f t="shared" si="29"/>
        <v>-1.1534069042760109E-4</v>
      </c>
      <c r="AT206" s="212">
        <f>[1]!LIM(AT205+Mode*r0*((1+IntegrationStep/2/Ti+Td/IntegrationStep)*AS206-(1-IntegrationStep/2/Ti+2*Td/IntegrationStep)*AS205+Td/IntegrationStep*AS204))</f>
        <v>0.40248058714811885</v>
      </c>
      <c r="AU206" s="212">
        <f t="shared" si="30"/>
        <v>40.794124671602574</v>
      </c>
      <c r="AW206" s="58"/>
      <c r="AX206" s="58"/>
      <c r="AY206" s="58"/>
      <c r="AZ206" s="58"/>
    </row>
    <row r="207" spans="1:52" s="185" customFormat="1" ht="15" customHeight="1" x14ac:dyDescent="0.25">
      <c r="A207" s="200"/>
      <c r="B207" s="211"/>
      <c r="C207" s="212">
        <f t="shared" si="31"/>
        <v>19.600000000000009</v>
      </c>
      <c r="D207" s="231">
        <f>15+[1]!STEPLOAD(5)</f>
        <v>20</v>
      </c>
      <c r="E207" s="212">
        <f t="shared" si="33"/>
        <v>40.805234842094848</v>
      </c>
      <c r="F207" s="212">
        <f t="shared" si="34"/>
        <v>0.5</v>
      </c>
      <c r="G207" s="212">
        <f>5</f>
        <v>5</v>
      </c>
      <c r="H207" s="212">
        <f t="shared" si="32"/>
        <v>48.300205677787645</v>
      </c>
      <c r="I207" s="212">
        <f t="shared" si="35"/>
        <v>0.9</v>
      </c>
      <c r="J207" s="212">
        <f>1</f>
        <v>1</v>
      </c>
      <c r="K207" s="212">
        <f t="shared" si="36"/>
        <v>4.1870000000000003</v>
      </c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2"/>
      <c r="AB207" s="212"/>
      <c r="AC207" s="196"/>
      <c r="AD207" s="27"/>
      <c r="AE207" s="213"/>
      <c r="AF207" s="212">
        <f t="shared" si="37"/>
        <v>-4.0876060146493032E-3</v>
      </c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196"/>
      <c r="AQ207" s="196"/>
      <c r="AR207" s="211"/>
      <c r="AS207" s="212">
        <f t="shared" si="29"/>
        <v>-1.1110170492273141E-4</v>
      </c>
      <c r="AT207" s="212">
        <f>[1]!LIM(AT206+Mode*r0*((1+IntegrationStep/2/Ti+Td/IntegrationStep)*AS207-(1-IntegrationStep/2/Ti+2*Td/IntegrationStep)*AS206+Td/IntegrationStep*AS205))</f>
        <v>0.4025017139815637</v>
      </c>
      <c r="AU207" s="212">
        <f t="shared" si="30"/>
        <v>40.794124671602574</v>
      </c>
      <c r="AW207" s="58"/>
      <c r="AX207" s="58"/>
      <c r="AY207" s="58"/>
      <c r="AZ207" s="58"/>
    </row>
    <row r="208" spans="1:52" s="185" customFormat="1" ht="15" customHeight="1" x14ac:dyDescent="0.25">
      <c r="A208" s="200"/>
      <c r="B208" s="211"/>
      <c r="C208" s="212">
        <f t="shared" si="31"/>
        <v>19.70000000000001</v>
      </c>
      <c r="D208" s="231">
        <f>15+[1]!STEPLOAD(5)</f>
        <v>20</v>
      </c>
      <c r="E208" s="212">
        <f t="shared" si="33"/>
        <v>40.804826081493381</v>
      </c>
      <c r="F208" s="212">
        <f t="shared" si="34"/>
        <v>0.5</v>
      </c>
      <c r="G208" s="212">
        <f>5</f>
        <v>5</v>
      </c>
      <c r="H208" s="212">
        <f t="shared" si="32"/>
        <v>48.30265576302785</v>
      </c>
      <c r="I208" s="212">
        <f t="shared" si="35"/>
        <v>0.9</v>
      </c>
      <c r="J208" s="212">
        <f>1</f>
        <v>1</v>
      </c>
      <c r="K208" s="212">
        <f t="shared" si="36"/>
        <v>4.1870000000000003</v>
      </c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2"/>
      <c r="AB208" s="212"/>
      <c r="AC208" s="196"/>
      <c r="AD208" s="27"/>
      <c r="AE208" s="213"/>
      <c r="AF208" s="212">
        <f t="shared" si="37"/>
        <v>-3.9414002809334825E-3</v>
      </c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196"/>
      <c r="AQ208" s="196"/>
      <c r="AR208" s="211"/>
      <c r="AS208" s="212">
        <f t="shared" si="29"/>
        <v>-1.0701409890806701E-4</v>
      </c>
      <c r="AT208" s="212">
        <f>[1]!LIM(AT207+Mode*r0*((1+IntegrationStep/2/Ti+Td/IntegrationStep)*AS208-(1-IntegrationStep/2/Ti+2*Td/IntegrationStep)*AS207+Td/IntegrationStep*AS206))</f>
        <v>0.4025221313585654</v>
      </c>
      <c r="AU208" s="212">
        <f t="shared" si="30"/>
        <v>40.794124671602574</v>
      </c>
      <c r="AW208" s="58"/>
      <c r="AX208" s="58"/>
      <c r="AY208" s="58"/>
      <c r="AZ208" s="58"/>
    </row>
    <row r="209" spans="1:52" s="185" customFormat="1" ht="15" customHeight="1" x14ac:dyDescent="0.25">
      <c r="A209" s="200"/>
      <c r="B209" s="211"/>
      <c r="C209" s="212">
        <f t="shared" si="31"/>
        <v>19.800000000000011</v>
      </c>
      <c r="D209" s="231">
        <f>15+[1]!STEPLOAD(5)</f>
        <v>20</v>
      </c>
      <c r="E209" s="212">
        <f t="shared" si="33"/>
        <v>40.804431941465289</v>
      </c>
      <c r="F209" s="212">
        <f t="shared" si="34"/>
        <v>0.5</v>
      </c>
      <c r="G209" s="212">
        <f>5</f>
        <v>5</v>
      </c>
      <c r="H209" s="212">
        <f t="shared" si="32"/>
        <v>48.305023330588966</v>
      </c>
      <c r="I209" s="212">
        <f t="shared" si="35"/>
        <v>0.9</v>
      </c>
      <c r="J209" s="212">
        <f>1</f>
        <v>1</v>
      </c>
      <c r="K209" s="212">
        <f t="shared" si="36"/>
        <v>4.1870000000000003</v>
      </c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212"/>
      <c r="AA209" s="212"/>
      <c r="AB209" s="212"/>
      <c r="AC209" s="196"/>
      <c r="AD209" s="27"/>
      <c r="AE209" s="213"/>
      <c r="AF209" s="212">
        <f t="shared" si="37"/>
        <v>-3.8002040567239881E-3</v>
      </c>
      <c r="AG209" s="212"/>
      <c r="AH209" s="212"/>
      <c r="AI209" s="212"/>
      <c r="AJ209" s="212"/>
      <c r="AK209" s="212"/>
      <c r="AL209" s="212"/>
      <c r="AM209" s="212"/>
      <c r="AN209" s="212"/>
      <c r="AO209" s="212"/>
      <c r="AP209" s="196"/>
      <c r="AQ209" s="196"/>
      <c r="AR209" s="211"/>
      <c r="AS209" s="212">
        <f t="shared" si="29"/>
        <v>-1.0307269862714464E-4</v>
      </c>
      <c r="AT209" s="212">
        <f>[1]!LIM(AT208+Mode*r0*((1+IntegrationStep/2/Ti+Td/IntegrationStep)*AS209-(1-IntegrationStep/2/Ti+2*Td/IntegrationStep)*AS208+Td/IntegrationStep*AS207))</f>
        <v>0.40254186108824141</v>
      </c>
      <c r="AU209" s="212">
        <f t="shared" si="30"/>
        <v>40.794124671602574</v>
      </c>
      <c r="AW209" s="58"/>
      <c r="AX209" s="58"/>
      <c r="AY209" s="58"/>
      <c r="AZ209" s="58"/>
    </row>
    <row r="210" spans="1:52" s="185" customFormat="1" ht="15" customHeight="1" x14ac:dyDescent="0.25">
      <c r="A210" s="200"/>
      <c r="B210" s="211"/>
      <c r="C210" s="212">
        <f t="shared" si="31"/>
        <v>19.900000000000013</v>
      </c>
      <c r="D210" s="231">
        <f>15+[1]!STEPLOAD(5)</f>
        <v>20</v>
      </c>
      <c r="E210" s="212">
        <f t="shared" si="33"/>
        <v>40.804051921059617</v>
      </c>
      <c r="F210" s="212">
        <f t="shared" si="34"/>
        <v>0.5</v>
      </c>
      <c r="G210" s="212">
        <f>5</f>
        <v>5</v>
      </c>
      <c r="H210" s="212">
        <f t="shared" si="32"/>
        <v>48.307310931044114</v>
      </c>
      <c r="I210" s="212">
        <f t="shared" si="35"/>
        <v>0.9</v>
      </c>
      <c r="J210" s="212">
        <f>1</f>
        <v>1</v>
      </c>
      <c r="K210" s="212">
        <f t="shared" si="36"/>
        <v>4.1870000000000003</v>
      </c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212"/>
      <c r="AA210" s="212"/>
      <c r="AB210" s="212"/>
      <c r="AC210" s="196"/>
      <c r="AD210" s="27"/>
      <c r="AE210" s="213"/>
      <c r="AF210" s="212">
        <f t="shared" si="37"/>
        <v>-3.663857597258513E-3</v>
      </c>
      <c r="AG210" s="212"/>
      <c r="AH210" s="212"/>
      <c r="AI210" s="212"/>
      <c r="AJ210" s="212"/>
      <c r="AK210" s="212"/>
      <c r="AL210" s="212"/>
      <c r="AM210" s="212"/>
      <c r="AN210" s="212"/>
      <c r="AO210" s="212"/>
      <c r="AP210" s="196"/>
      <c r="AQ210" s="196"/>
      <c r="AR210" s="211"/>
      <c r="AS210" s="212">
        <f t="shared" si="29"/>
        <v>-9.9272494570428198E-5</v>
      </c>
      <c r="AT210" s="212">
        <f>[1]!LIM(AT209+Mode*r0*((1+IntegrationStep/2/Ti+Td/IntegrationStep)*AS210-(1-IntegrationStep/2/Ti+2*Td/IntegrationStep)*AS209+Td/IntegrationStep*AS208))</f>
        <v>0.40256092442536762</v>
      </c>
      <c r="AU210" s="212">
        <f t="shared" si="30"/>
        <v>40.794124671602574</v>
      </c>
      <c r="AW210" s="58"/>
      <c r="AX210" s="58"/>
      <c r="AY210" s="58"/>
      <c r="AZ210" s="58"/>
    </row>
    <row r="211" spans="1:52" s="185" customFormat="1" ht="15" customHeight="1" x14ac:dyDescent="0.25">
      <c r="A211" s="200"/>
      <c r="B211" s="211"/>
      <c r="C211" s="212">
        <f t="shared" si="31"/>
        <v>20.000000000000014</v>
      </c>
      <c r="D211" s="231">
        <f>15+[1]!STEPLOAD(5)</f>
        <v>20</v>
      </c>
      <c r="E211" s="212">
        <f t="shared" si="33"/>
        <v>40.803685535299891</v>
      </c>
      <c r="F211" s="212">
        <f t="shared" si="34"/>
        <v>0.5</v>
      </c>
      <c r="G211" s="212">
        <f>5</f>
        <v>5</v>
      </c>
      <c r="H211" s="212">
        <f t="shared" si="32"/>
        <v>48.309521049259452</v>
      </c>
      <c r="I211" s="212">
        <f t="shared" si="35"/>
        <v>0.9</v>
      </c>
      <c r="J211" s="212">
        <f>1</f>
        <v>1</v>
      </c>
      <c r="K211" s="212">
        <f t="shared" si="36"/>
        <v>4.1870000000000003</v>
      </c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212"/>
      <c r="AA211" s="212"/>
      <c r="AB211" s="212"/>
      <c r="AC211" s="196"/>
      <c r="AD211" s="27"/>
      <c r="AE211" s="213"/>
      <c r="AF211" s="212">
        <f t="shared" si="37"/>
        <v>-3.5322055799773544E-3</v>
      </c>
      <c r="AG211" s="212"/>
      <c r="AH211" s="212"/>
      <c r="AI211" s="212"/>
      <c r="AJ211" s="212"/>
      <c r="AK211" s="212"/>
      <c r="AL211" s="212"/>
      <c r="AM211" s="212"/>
      <c r="AN211" s="212"/>
      <c r="AO211" s="212"/>
      <c r="AP211" s="196"/>
      <c r="AQ211" s="196"/>
      <c r="AR211" s="211"/>
      <c r="AS211" s="212">
        <f t="shared" si="29"/>
        <v>-9.5608636973167906E-5</v>
      </c>
      <c r="AT211" s="212">
        <f>[1]!LIM(AT210+Mode*r0*((1+IntegrationStep/2/Ti+Td/IntegrationStep)*AS211-(1-IntegrationStep/2/Ti+2*Td/IntegrationStep)*AS210+Td/IntegrationStep*AS209))</f>
        <v>0.40257934207716212</v>
      </c>
      <c r="AU211" s="212">
        <f t="shared" si="30"/>
        <v>40.794124671602574</v>
      </c>
      <c r="AW211" s="58"/>
      <c r="AX211" s="58"/>
      <c r="AY211" s="58"/>
      <c r="AZ211" s="58"/>
    </row>
    <row r="212" spans="1:52" s="185" customFormat="1" ht="15" customHeight="1" x14ac:dyDescent="0.25">
      <c r="A212" s="200"/>
      <c r="B212" s="211"/>
      <c r="C212" s="212">
        <f t="shared" si="31"/>
        <v>20.100000000000016</v>
      </c>
      <c r="D212" s="231">
        <f>15+[1]!STEPLOAD(5)</f>
        <v>20</v>
      </c>
      <c r="E212" s="212">
        <f t="shared" si="33"/>
        <v>40.803332314741894</v>
      </c>
      <c r="F212" s="212">
        <f t="shared" si="34"/>
        <v>0.5</v>
      </c>
      <c r="G212" s="212">
        <f>5</f>
        <v>5</v>
      </c>
      <c r="H212" s="212">
        <f t="shared" si="32"/>
        <v>48.311656105265158</v>
      </c>
      <c r="I212" s="212">
        <f t="shared" si="35"/>
        <v>0.9</v>
      </c>
      <c r="J212" s="212">
        <f>1</f>
        <v>1</v>
      </c>
      <c r="K212" s="212">
        <f t="shared" si="36"/>
        <v>4.1870000000000003</v>
      </c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212"/>
      <c r="AA212" s="212"/>
      <c r="AB212" s="212"/>
      <c r="AC212" s="196"/>
      <c r="AD212" s="27"/>
      <c r="AE212" s="213"/>
      <c r="AF212" s="212">
        <f t="shared" si="37"/>
        <v>-3.4050970228571842E-3</v>
      </c>
      <c r="AG212" s="212"/>
      <c r="AH212" s="212"/>
      <c r="AI212" s="212"/>
      <c r="AJ212" s="212"/>
      <c r="AK212" s="212"/>
      <c r="AL212" s="212"/>
      <c r="AM212" s="212"/>
      <c r="AN212" s="212"/>
      <c r="AO212" s="212"/>
      <c r="AP212" s="196"/>
      <c r="AQ212" s="196"/>
      <c r="AR212" s="211"/>
      <c r="AS212" s="212">
        <f t="shared" si="29"/>
        <v>-9.2076431393195435E-5</v>
      </c>
      <c r="AT212" s="212">
        <f>[1]!LIM(AT211+Mode*r0*((1+IntegrationStep/2/Ti+Td/IntegrationStep)*AS212-(1-IntegrationStep/2/Ti+2*Td/IntegrationStep)*AS211+Td/IntegrationStep*AS210))</f>
        <v>0.402597134210543</v>
      </c>
      <c r="AU212" s="212">
        <f t="shared" si="30"/>
        <v>40.794124671602574</v>
      </c>
      <c r="AW212" s="58"/>
      <c r="AX212" s="58"/>
      <c r="AY212" s="58"/>
      <c r="AZ212" s="58"/>
    </row>
    <row r="213" spans="1:52" s="185" customFormat="1" ht="15" customHeight="1" x14ac:dyDescent="0.25">
      <c r="A213" s="200"/>
      <c r="B213" s="211"/>
      <c r="C213" s="212">
        <f t="shared" si="31"/>
        <v>20.200000000000017</v>
      </c>
      <c r="D213" s="231">
        <f>15+[1]!STEPLOAD(5)</f>
        <v>20</v>
      </c>
      <c r="E213" s="212">
        <f t="shared" si="33"/>
        <v>40.802991805039611</v>
      </c>
      <c r="F213" s="212">
        <f t="shared" si="34"/>
        <v>0.5</v>
      </c>
      <c r="G213" s="212">
        <f>5</f>
        <v>5</v>
      </c>
      <c r="H213" s="212">
        <f t="shared" si="32"/>
        <v>48.313718455176577</v>
      </c>
      <c r="I213" s="212">
        <f t="shared" si="35"/>
        <v>0.9</v>
      </c>
      <c r="J213" s="212">
        <f>1</f>
        <v>1</v>
      </c>
      <c r="K213" s="212">
        <f t="shared" si="36"/>
        <v>4.1870000000000003</v>
      </c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212"/>
      <c r="AA213" s="212"/>
      <c r="AB213" s="212"/>
      <c r="AC213" s="196"/>
      <c r="AD213" s="27"/>
      <c r="AE213" s="213"/>
      <c r="AF213" s="212">
        <f t="shared" si="37"/>
        <v>-3.2823852014098875E-3</v>
      </c>
      <c r="AG213" s="212"/>
      <c r="AH213" s="212"/>
      <c r="AI213" s="212"/>
      <c r="AJ213" s="212"/>
      <c r="AK213" s="212"/>
      <c r="AL213" s="212"/>
      <c r="AM213" s="212"/>
      <c r="AN213" s="212"/>
      <c r="AO213" s="212"/>
      <c r="AP213" s="196"/>
      <c r="AQ213" s="196"/>
      <c r="AR213" s="211"/>
      <c r="AS213" s="212">
        <f t="shared" si="29"/>
        <v>-8.8671334370360452E-5</v>
      </c>
      <c r="AT213" s="212">
        <f>[1]!LIM(AT212+Mode*r0*((1+IntegrationStep/2/Ti+Td/IntegrationStep)*AS213-(1-IntegrationStep/2/Ti+2*Td/IntegrationStep)*AS212+Td/IntegrationStep*AS211))</f>
        <v>0.40261432045980483</v>
      </c>
      <c r="AU213" s="212">
        <f t="shared" si="30"/>
        <v>40.794124671602574</v>
      </c>
      <c r="AW213" s="58"/>
      <c r="AX213" s="58"/>
      <c r="AY213" s="58"/>
      <c r="AZ213" s="58"/>
    </row>
    <row r="214" spans="1:52" s="185" customFormat="1" ht="15" customHeight="1" x14ac:dyDescent="0.25">
      <c r="A214" s="200"/>
      <c r="B214" s="211"/>
      <c r="C214" s="212">
        <f t="shared" si="31"/>
        <v>20.300000000000018</v>
      </c>
      <c r="D214" s="231">
        <f>15+[1]!STEPLOAD(5)</f>
        <v>20</v>
      </c>
      <c r="E214" s="212">
        <f t="shared" si="33"/>
        <v>40.80266356651947</v>
      </c>
      <c r="F214" s="212">
        <f t="shared" si="34"/>
        <v>0.5</v>
      </c>
      <c r="G214" s="212">
        <f>5</f>
        <v>5</v>
      </c>
      <c r="H214" s="212">
        <f t="shared" si="32"/>
        <v>48.315710392159467</v>
      </c>
      <c r="I214" s="212">
        <f t="shared" si="35"/>
        <v>0.9</v>
      </c>
      <c r="J214" s="212">
        <f>1</f>
        <v>1</v>
      </c>
      <c r="K214" s="212">
        <f t="shared" si="36"/>
        <v>4.1870000000000003</v>
      </c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212"/>
      <c r="AA214" s="212"/>
      <c r="AB214" s="212"/>
      <c r="AC214" s="196"/>
      <c r="AD214" s="27"/>
      <c r="AE214" s="213"/>
      <c r="AF214" s="212">
        <f t="shared" si="37"/>
        <v>-3.1639275646044851E-3</v>
      </c>
      <c r="AG214" s="212"/>
      <c r="AH214" s="212"/>
      <c r="AI214" s="212"/>
      <c r="AJ214" s="212"/>
      <c r="AK214" s="212"/>
      <c r="AL214" s="212"/>
      <c r="AM214" s="212"/>
      <c r="AN214" s="212"/>
      <c r="AO214" s="212"/>
      <c r="AP214" s="196"/>
      <c r="AQ214" s="196"/>
      <c r="AR214" s="211"/>
      <c r="AS214" s="212">
        <f t="shared" si="29"/>
        <v>-8.5388949168958562E-5</v>
      </c>
      <c r="AT214" s="212">
        <f>[1]!LIM(AT213+Mode*r0*((1+IntegrationStep/2/Ti+Td/IntegrationStep)*AS214-(1-IntegrationStep/2/Ti+2*Td/IntegrationStep)*AS213+Td/IntegrationStep*AS212))</f>
        <v>0.40263091993466221</v>
      </c>
      <c r="AU214" s="212">
        <f t="shared" si="30"/>
        <v>40.794124671602574</v>
      </c>
      <c r="AW214" s="58"/>
      <c r="AX214" s="58"/>
      <c r="AY214" s="58"/>
      <c r="AZ214" s="58"/>
    </row>
    <row r="215" spans="1:52" s="185" customFormat="1" ht="15" customHeight="1" x14ac:dyDescent="0.25">
      <c r="A215" s="200"/>
      <c r="B215" s="211"/>
      <c r="C215" s="212">
        <f t="shared" si="31"/>
        <v>20.40000000000002</v>
      </c>
      <c r="D215" s="231">
        <f>15+[1]!STEPLOAD(5)</f>
        <v>20</v>
      </c>
      <c r="E215" s="212">
        <f t="shared" si="33"/>
        <v>40.80234717376301</v>
      </c>
      <c r="F215" s="212">
        <f t="shared" si="34"/>
        <v>0.5</v>
      </c>
      <c r="G215" s="212">
        <f>5</f>
        <v>5</v>
      </c>
      <c r="H215" s="212">
        <f t="shared" si="32"/>
        <v>48.317634147433346</v>
      </c>
      <c r="I215" s="212">
        <f t="shared" si="35"/>
        <v>0.9</v>
      </c>
      <c r="J215" s="212">
        <f>1</f>
        <v>1</v>
      </c>
      <c r="K215" s="212">
        <f t="shared" si="36"/>
        <v>4.1870000000000003</v>
      </c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212"/>
      <c r="AA215" s="212"/>
      <c r="AB215" s="212"/>
      <c r="AC215" s="196"/>
      <c r="AD215" s="27"/>
      <c r="AE215" s="213"/>
      <c r="AF215" s="212">
        <f t="shared" si="37"/>
        <v>-3.0495856500047935E-3</v>
      </c>
      <c r="AG215" s="212"/>
      <c r="AH215" s="212"/>
      <c r="AI215" s="212"/>
      <c r="AJ215" s="212"/>
      <c r="AK215" s="212"/>
      <c r="AL215" s="212"/>
      <c r="AM215" s="212"/>
      <c r="AN215" s="212"/>
      <c r="AO215" s="212"/>
      <c r="AP215" s="196"/>
      <c r="AQ215" s="196"/>
      <c r="AR215" s="211"/>
      <c r="AS215" s="212">
        <f t="shared" si="29"/>
        <v>-8.2225021604358513E-5</v>
      </c>
      <c r="AT215" s="212">
        <f>[1]!LIM(AT214+Mode*r0*((1+IntegrationStep/2/Ti+Td/IntegrationStep)*AS215-(1-IntegrationStep/2/Ti+2*Td/IntegrationStep)*AS214+Td/IntegrationStep*AS213))</f>
        <v>0.40264695122861122</v>
      </c>
      <c r="AU215" s="212">
        <f t="shared" si="30"/>
        <v>40.794124671602574</v>
      </c>
      <c r="AW215" s="58"/>
      <c r="AX215" s="58"/>
      <c r="AY215" s="58"/>
      <c r="AZ215" s="58"/>
    </row>
    <row r="216" spans="1:52" s="185" customFormat="1" ht="15" customHeight="1" x14ac:dyDescent="0.25">
      <c r="A216" s="200"/>
      <c r="B216" s="211"/>
      <c r="C216" s="212">
        <f t="shared" si="31"/>
        <v>20.500000000000021</v>
      </c>
      <c r="D216" s="231">
        <f>15+[1]!STEPLOAD(5)</f>
        <v>20</v>
      </c>
      <c r="E216" s="212">
        <f t="shared" si="33"/>
        <v>40.802042215198007</v>
      </c>
      <c r="F216" s="212">
        <f t="shared" si="34"/>
        <v>0.5</v>
      </c>
      <c r="G216" s="212">
        <f>5</f>
        <v>5</v>
      </c>
      <c r="H216" s="212">
        <f t="shared" si="32"/>
        <v>48.319491891308331</v>
      </c>
      <c r="I216" s="212">
        <f t="shared" si="35"/>
        <v>0.9</v>
      </c>
      <c r="J216" s="212">
        <f>1</f>
        <v>1</v>
      </c>
      <c r="K216" s="212">
        <f t="shared" si="36"/>
        <v>4.1870000000000003</v>
      </c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212"/>
      <c r="AA216" s="212"/>
      <c r="AB216" s="212"/>
      <c r="AC216" s="196"/>
      <c r="AD216" s="27"/>
      <c r="AE216" s="213"/>
      <c r="AF216" s="212">
        <f t="shared" si="37"/>
        <v>-2.9392249983057894E-3</v>
      </c>
      <c r="AG216" s="212"/>
      <c r="AH216" s="212"/>
      <c r="AI216" s="212"/>
      <c r="AJ216" s="212"/>
      <c r="AK216" s="212"/>
      <c r="AL216" s="212"/>
      <c r="AM216" s="212"/>
      <c r="AN216" s="212"/>
      <c r="AO216" s="212"/>
      <c r="AP216" s="196"/>
      <c r="AQ216" s="196"/>
      <c r="AR216" s="211"/>
      <c r="AS216" s="212">
        <f t="shared" si="29"/>
        <v>-7.9175435954326187E-5</v>
      </c>
      <c r="AT216" s="212">
        <f>[1]!LIM(AT215+Mode*r0*((1+IntegrationStep/2/Ti+Td/IntegrationStep)*AS216-(1-IntegrationStep/2/Ti+2*Td/IntegrationStep)*AS215+Td/IntegrationStep*AS214))</f>
        <v>0.40266243242756944</v>
      </c>
      <c r="AU216" s="212">
        <f t="shared" si="30"/>
        <v>40.794124671602574</v>
      </c>
      <c r="AW216" s="58"/>
      <c r="AX216" s="58"/>
      <c r="AY216" s="58"/>
      <c r="AZ216" s="58"/>
    </row>
    <row r="217" spans="1:52" s="185" customFormat="1" ht="15" customHeight="1" x14ac:dyDescent="0.25">
      <c r="A217" s="200"/>
      <c r="B217" s="211"/>
      <c r="C217" s="212">
        <f t="shared" si="31"/>
        <v>20.600000000000023</v>
      </c>
      <c r="D217" s="231">
        <f>15+[1]!STEPLOAD(5)</f>
        <v>20</v>
      </c>
      <c r="E217" s="212">
        <f t="shared" si="33"/>
        <v>40.801748292698178</v>
      </c>
      <c r="F217" s="212">
        <f t="shared" si="34"/>
        <v>0.5</v>
      </c>
      <c r="G217" s="212">
        <f>5</f>
        <v>5</v>
      </c>
      <c r="H217" s="212">
        <f t="shared" si="32"/>
        <v>48.321285734249763</v>
      </c>
      <c r="I217" s="212">
        <f t="shared" si="35"/>
        <v>0.9</v>
      </c>
      <c r="J217" s="212">
        <f>1</f>
        <v>1</v>
      </c>
      <c r="K217" s="212">
        <f t="shared" si="36"/>
        <v>4.1870000000000003</v>
      </c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212"/>
      <c r="AA217" s="212"/>
      <c r="AB217" s="212"/>
      <c r="AC217" s="196"/>
      <c r="AD217" s="27"/>
      <c r="AE217" s="213"/>
      <c r="AF217" s="212">
        <f t="shared" si="37"/>
        <v>-2.8327150675355739E-3</v>
      </c>
      <c r="AG217" s="212"/>
      <c r="AH217" s="212"/>
      <c r="AI217" s="212"/>
      <c r="AJ217" s="212"/>
      <c r="AK217" s="212"/>
      <c r="AL217" s="212"/>
      <c r="AM217" s="212"/>
      <c r="AN217" s="212"/>
      <c r="AO217" s="212"/>
      <c r="AP217" s="196"/>
      <c r="AQ217" s="196"/>
      <c r="AR217" s="211"/>
      <c r="AS217" s="212">
        <f t="shared" si="29"/>
        <v>-7.6236210956039943E-5</v>
      </c>
      <c r="AT217" s="212">
        <f>[1]!LIM(AT216+Mode*r0*((1+IntegrationStep/2/Ti+Td/IntegrationStep)*AS217-(1-IntegrationStep/2/Ti+2*Td/IntegrationStep)*AS216+Td/IntegrationStep*AS215))</f>
        <v>0.40267738111874801</v>
      </c>
      <c r="AU217" s="212">
        <f t="shared" si="30"/>
        <v>40.794124671602574</v>
      </c>
      <c r="AW217" s="58"/>
      <c r="AX217" s="58"/>
      <c r="AY217" s="58"/>
      <c r="AZ217" s="58"/>
    </row>
    <row r="218" spans="1:52" s="185" customFormat="1" ht="15" customHeight="1" x14ac:dyDescent="0.25">
      <c r="A218" s="200"/>
      <c r="B218" s="211"/>
      <c r="C218" s="212">
        <f t="shared" si="31"/>
        <v>20.700000000000024</v>
      </c>
      <c r="D218" s="231">
        <f>15+[1]!STEPLOAD(5)</f>
        <v>20</v>
      </c>
      <c r="E218" s="212">
        <f t="shared" si="33"/>
        <v>40.801465021191426</v>
      </c>
      <c r="F218" s="212">
        <f t="shared" si="34"/>
        <v>0.5</v>
      </c>
      <c r="G218" s="212">
        <f>5</f>
        <v>5</v>
      </c>
      <c r="H218" s="212">
        <f t="shared" si="32"/>
        <v>48.323017727967311</v>
      </c>
      <c r="I218" s="212">
        <f t="shared" si="35"/>
        <v>0.9</v>
      </c>
      <c r="J218" s="212">
        <f>1</f>
        <v>1</v>
      </c>
      <c r="K218" s="212">
        <f t="shared" si="36"/>
        <v>4.1870000000000003</v>
      </c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212"/>
      <c r="AA218" s="212"/>
      <c r="AB218" s="212"/>
      <c r="AC218" s="196"/>
      <c r="AD218" s="27"/>
      <c r="AE218" s="213"/>
      <c r="AF218" s="212">
        <f t="shared" si="37"/>
        <v>-2.7299291470588294E-3</v>
      </c>
      <c r="AG218" s="212"/>
      <c r="AH218" s="212"/>
      <c r="AI218" s="212"/>
      <c r="AJ218" s="212"/>
      <c r="AK218" s="212"/>
      <c r="AL218" s="212"/>
      <c r="AM218" s="212"/>
      <c r="AN218" s="212"/>
      <c r="AO218" s="212"/>
      <c r="AP218" s="196"/>
      <c r="AQ218" s="196"/>
      <c r="AR218" s="211"/>
      <c r="AS218" s="212">
        <f t="shared" si="29"/>
        <v>-7.3403495888513251E-5</v>
      </c>
      <c r="AT218" s="212">
        <f>[1]!LIM(AT217+Mode*r0*((1+IntegrationStep/2/Ti+Td/IntegrationStep)*AS218-(1-IntegrationStep/2/Ti+2*Td/IntegrationStep)*AS217+Td/IntegrationStep*AS216))</f>
        <v>0.40269181439972757</v>
      </c>
      <c r="AU218" s="212">
        <f t="shared" si="30"/>
        <v>40.794124671602574</v>
      </c>
      <c r="AW218" s="58"/>
      <c r="AX218" s="58"/>
      <c r="AY218" s="58"/>
      <c r="AZ218" s="58"/>
    </row>
    <row r="219" spans="1:52" s="185" customFormat="1" ht="15" customHeight="1" x14ac:dyDescent="0.25">
      <c r="A219" s="200"/>
      <c r="B219" s="211"/>
      <c r="C219" s="212">
        <f t="shared" si="31"/>
        <v>20.800000000000026</v>
      </c>
      <c r="D219" s="231">
        <f>15+[1]!STEPLOAD(5)</f>
        <v>20</v>
      </c>
      <c r="E219" s="212">
        <f t="shared" si="33"/>
        <v>40.801192028276716</v>
      </c>
      <c r="F219" s="212">
        <f t="shared" si="34"/>
        <v>0.5</v>
      </c>
      <c r="G219" s="212">
        <f>5</f>
        <v>5</v>
      </c>
      <c r="H219" s="212">
        <f t="shared" si="32"/>
        <v>48.324689866522903</v>
      </c>
      <c r="I219" s="212">
        <f t="shared" si="35"/>
        <v>0.9</v>
      </c>
      <c r="J219" s="212">
        <f>1</f>
        <v>1</v>
      </c>
      <c r="K219" s="212">
        <f t="shared" si="36"/>
        <v>4.1870000000000003</v>
      </c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212"/>
      <c r="AA219" s="212"/>
      <c r="AB219" s="212"/>
      <c r="AC219" s="196"/>
      <c r="AD219" s="27"/>
      <c r="AE219" s="213"/>
      <c r="AF219" s="212">
        <f t="shared" si="37"/>
        <v>-2.6307442716357876E-3</v>
      </c>
      <c r="AG219" s="212"/>
      <c r="AH219" s="212"/>
      <c r="AI219" s="212"/>
      <c r="AJ219" s="212"/>
      <c r="AK219" s="212"/>
      <c r="AL219" s="212"/>
      <c r="AM219" s="212"/>
      <c r="AN219" s="212"/>
      <c r="AO219" s="212"/>
      <c r="AP219" s="196"/>
      <c r="AQ219" s="196"/>
      <c r="AR219" s="211"/>
      <c r="AS219" s="212">
        <f t="shared" si="29"/>
        <v>-7.067356674141933E-5</v>
      </c>
      <c r="AT219" s="212">
        <f>[1]!LIM(AT218+Mode*r0*((1+IntegrationStep/2/Ti+Td/IntegrationStep)*AS219-(1-IntegrationStep/2/Ti+2*Td/IntegrationStep)*AS218+Td/IntegrationStep*AS217))</f>
        <v>0.40270574888769084</v>
      </c>
      <c r="AU219" s="212">
        <f t="shared" si="30"/>
        <v>40.794124671602574</v>
      </c>
      <c r="AW219" s="58"/>
      <c r="AX219" s="58"/>
      <c r="AY219" s="58"/>
      <c r="AZ219" s="58"/>
    </row>
    <row r="220" spans="1:52" s="185" customFormat="1" ht="15" customHeight="1" x14ac:dyDescent="0.25">
      <c r="A220" s="200"/>
      <c r="B220" s="211"/>
      <c r="C220" s="212">
        <f t="shared" si="31"/>
        <v>20.900000000000027</v>
      </c>
      <c r="D220" s="231">
        <f>15+[1]!STEPLOAD(5)</f>
        <v>20</v>
      </c>
      <c r="E220" s="212">
        <f t="shared" si="33"/>
        <v>40.800928953849549</v>
      </c>
      <c r="F220" s="212">
        <f t="shared" si="34"/>
        <v>0.5</v>
      </c>
      <c r="G220" s="212">
        <f>5</f>
        <v>5</v>
      </c>
      <c r="H220" s="212">
        <f t="shared" si="32"/>
        <v>48.326304087454659</v>
      </c>
      <c r="I220" s="212">
        <f t="shared" si="35"/>
        <v>0.9</v>
      </c>
      <c r="J220" s="212">
        <f>1</f>
        <v>1</v>
      </c>
      <c r="K220" s="212">
        <f t="shared" si="36"/>
        <v>4.1870000000000003</v>
      </c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212"/>
      <c r="AA220" s="212"/>
      <c r="AB220" s="212"/>
      <c r="AC220" s="196"/>
      <c r="AD220" s="27"/>
      <c r="AE220" s="213"/>
      <c r="AF220" s="212">
        <f t="shared" si="37"/>
        <v>-2.5350411356503955E-3</v>
      </c>
      <c r="AG220" s="212"/>
      <c r="AH220" s="212"/>
      <c r="AI220" s="212"/>
      <c r="AJ220" s="212"/>
      <c r="AK220" s="212"/>
      <c r="AL220" s="212"/>
      <c r="AM220" s="212"/>
      <c r="AN220" s="212"/>
      <c r="AO220" s="212"/>
      <c r="AP220" s="196"/>
      <c r="AQ220" s="196"/>
      <c r="AR220" s="211"/>
      <c r="AS220" s="212">
        <f t="shared" si="29"/>
        <v>-6.8042822469749353E-5</v>
      </c>
      <c r="AT220" s="212">
        <f>[1]!LIM(AT219+Mode*r0*((1+IntegrationStep/2/Ti+Td/IntegrationStep)*AS220-(1-IntegrationStep/2/Ti+2*Td/IntegrationStep)*AS219+Td/IntegrationStep*AS218))</f>
        <v>0.40271920072878881</v>
      </c>
      <c r="AU220" s="212">
        <f t="shared" si="30"/>
        <v>40.794124671602574</v>
      </c>
      <c r="AW220" s="58"/>
      <c r="AX220" s="58"/>
      <c r="AY220" s="58"/>
      <c r="AZ220" s="58"/>
    </row>
    <row r="221" spans="1:52" s="185" customFormat="1" ht="15" customHeight="1" x14ac:dyDescent="0.25">
      <c r="A221" s="200"/>
      <c r="B221" s="211"/>
      <c r="C221" s="212">
        <f t="shared" si="31"/>
        <v>21.000000000000028</v>
      </c>
      <c r="D221" s="231">
        <f>15+[1]!STEPLOAD(5)</f>
        <v>20</v>
      </c>
      <c r="E221" s="212">
        <f t="shared" si="33"/>
        <v>40.800675449735984</v>
      </c>
      <c r="F221" s="212">
        <f t="shared" si="34"/>
        <v>0.5</v>
      </c>
      <c r="G221" s="212">
        <f>5</f>
        <v>5</v>
      </c>
      <c r="H221" s="212">
        <f t="shared" si="32"/>
        <v>48.327862272913258</v>
      </c>
      <c r="I221" s="212">
        <f t="shared" si="35"/>
        <v>0.9</v>
      </c>
      <c r="J221" s="212">
        <f>1</f>
        <v>1</v>
      </c>
      <c r="K221" s="212">
        <f t="shared" si="36"/>
        <v>4.1870000000000003</v>
      </c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212"/>
      <c r="AA221" s="212"/>
      <c r="AB221" s="212"/>
      <c r="AC221" s="196"/>
      <c r="AD221" s="27"/>
      <c r="AE221" s="213"/>
      <c r="AF221" s="212">
        <f t="shared" si="37"/>
        <v>-2.4427040076595574E-3</v>
      </c>
      <c r="AG221" s="212"/>
      <c r="AH221" s="212"/>
      <c r="AI221" s="212"/>
      <c r="AJ221" s="212"/>
      <c r="AK221" s="212"/>
      <c r="AL221" s="212"/>
      <c r="AM221" s="212"/>
      <c r="AN221" s="212"/>
      <c r="AO221" s="212"/>
      <c r="AP221" s="196"/>
      <c r="AQ221" s="196"/>
      <c r="AR221" s="211"/>
      <c r="AS221" s="212">
        <f t="shared" si="29"/>
        <v>-6.5507781334090968E-5</v>
      </c>
      <c r="AT221" s="212">
        <f>[1]!LIM(AT220+Mode*r0*((1+IntegrationStep/2/Ti+Td/IntegrationStep)*AS221-(1-IntegrationStep/2/Ti+2*Td/IntegrationStep)*AS220+Td/IntegrationStep*AS219))</f>
        <v>0.40273218560761048</v>
      </c>
      <c r="AU221" s="212">
        <f t="shared" si="30"/>
        <v>40.794124671602574</v>
      </c>
      <c r="AW221" s="58"/>
      <c r="AX221" s="58"/>
      <c r="AY221" s="58"/>
      <c r="AZ221" s="58"/>
    </row>
    <row r="222" spans="1:52" s="185" customFormat="1" ht="15" customHeight="1" x14ac:dyDescent="0.25">
      <c r="A222" s="200"/>
      <c r="B222" s="211"/>
      <c r="C222" s="212">
        <f t="shared" si="31"/>
        <v>21.10000000000003</v>
      </c>
      <c r="D222" s="231">
        <f>15+[1]!STEPLOAD(5)</f>
        <v>20</v>
      </c>
      <c r="E222" s="212">
        <f t="shared" si="33"/>
        <v>40.80043117933522</v>
      </c>
      <c r="F222" s="212">
        <f t="shared" si="34"/>
        <v>0.5</v>
      </c>
      <c r="G222" s="212">
        <f>5</f>
        <v>5</v>
      </c>
      <c r="H222" s="212">
        <f t="shared" si="32"/>
        <v>48.329366250807134</v>
      </c>
      <c r="I222" s="212">
        <f t="shared" si="35"/>
        <v>0.9</v>
      </c>
      <c r="J222" s="212">
        <f>1</f>
        <v>1</v>
      </c>
      <c r="K222" s="212">
        <f t="shared" si="36"/>
        <v>4.1870000000000003</v>
      </c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212"/>
      <c r="AA222" s="212"/>
      <c r="AB222" s="212"/>
      <c r="AC222" s="196"/>
      <c r="AD222" s="27"/>
      <c r="AE222" s="213"/>
      <c r="AF222" s="212">
        <f t="shared" si="37"/>
        <v>-2.3536206454197739E-3</v>
      </c>
      <c r="AG222" s="212"/>
      <c r="AH222" s="212"/>
      <c r="AI222" s="212"/>
      <c r="AJ222" s="212"/>
      <c r="AK222" s="212"/>
      <c r="AL222" s="212"/>
      <c r="AM222" s="212"/>
      <c r="AN222" s="212"/>
      <c r="AO222" s="212"/>
      <c r="AP222" s="196"/>
      <c r="AQ222" s="196"/>
      <c r="AR222" s="211"/>
      <c r="AS222" s="212">
        <f t="shared" si="29"/>
        <v>-6.306507732645628E-5</v>
      </c>
      <c r="AT222" s="212">
        <f>[1]!LIM(AT221+Mode*r0*((1+IntegrationStep/2/Ti+Td/IntegrationStep)*AS222-(1-IntegrationStep/2/Ti+2*Td/IntegrationStep)*AS221+Td/IntegrationStep*AS220))</f>
        <v>0.40274471875672613</v>
      </c>
      <c r="AU222" s="212">
        <f t="shared" si="30"/>
        <v>40.794124671602574</v>
      </c>
      <c r="AW222" s="58"/>
      <c r="AX222" s="58"/>
      <c r="AY222" s="58"/>
      <c r="AZ222" s="58"/>
    </row>
    <row r="223" spans="1:52" s="185" customFormat="1" ht="15" customHeight="1" x14ac:dyDescent="0.25">
      <c r="A223" s="200"/>
      <c r="B223" s="211"/>
      <c r="C223" s="212">
        <f t="shared" si="31"/>
        <v>21.200000000000031</v>
      </c>
      <c r="D223" s="231">
        <f>15+[1]!STEPLOAD(5)</f>
        <v>20</v>
      </c>
      <c r="E223" s="212">
        <f t="shared" si="33"/>
        <v>40.800195817270676</v>
      </c>
      <c r="F223" s="212">
        <f t="shared" si="34"/>
        <v>0.5</v>
      </c>
      <c r="G223" s="212">
        <f>5</f>
        <v>5</v>
      </c>
      <c r="H223" s="212">
        <f t="shared" si="32"/>
        <v>48.330817795953756</v>
      </c>
      <c r="I223" s="212">
        <f t="shared" si="35"/>
        <v>0.9</v>
      </c>
      <c r="J223" s="212">
        <f>1</f>
        <v>1</v>
      </c>
      <c r="K223" s="212">
        <f t="shared" si="36"/>
        <v>4.1870000000000003</v>
      </c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196"/>
      <c r="AD223" s="27"/>
      <c r="AE223" s="213"/>
      <c r="AF223" s="212">
        <f t="shared" si="37"/>
        <v>-2.2676822115017536E-3</v>
      </c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196"/>
      <c r="AQ223" s="196"/>
      <c r="AR223" s="211"/>
      <c r="AS223" s="212">
        <f t="shared" si="29"/>
        <v>-6.0711456681019629E-5</v>
      </c>
      <c r="AT223" s="212">
        <f>[1]!LIM(AT222+Mode*r0*((1+IntegrationStep/2/Ti+Td/IntegrationStep)*AS223-(1-IntegrationStep/2/Ti+2*Td/IntegrationStep)*AS222+Td/IntegrationStep*AS221))</f>
        <v>0.4027568149662813</v>
      </c>
      <c r="AU223" s="212">
        <f t="shared" si="30"/>
        <v>40.794124671602574</v>
      </c>
      <c r="AW223" s="58"/>
      <c r="AX223" s="58"/>
      <c r="AY223" s="58"/>
      <c r="AZ223" s="58"/>
    </row>
    <row r="224" spans="1:52" s="185" customFormat="1" ht="15" customHeight="1" x14ac:dyDescent="0.25">
      <c r="A224" s="200"/>
      <c r="B224" s="211"/>
      <c r="C224" s="212">
        <f t="shared" si="31"/>
        <v>21.300000000000033</v>
      </c>
      <c r="D224" s="231">
        <f>15+[1]!STEPLOAD(5)</f>
        <v>20</v>
      </c>
      <c r="E224" s="212">
        <f t="shared" si="33"/>
        <v>40.79996904904953</v>
      </c>
      <c r="F224" s="212">
        <f t="shared" si="34"/>
        <v>0.5</v>
      </c>
      <c r="G224" s="212">
        <f>5</f>
        <v>5</v>
      </c>
      <c r="H224" s="212">
        <f t="shared" si="32"/>
        <v>48.332218631233509</v>
      </c>
      <c r="I224" s="212">
        <f t="shared" si="35"/>
        <v>0.9</v>
      </c>
      <c r="J224" s="212">
        <f>1</f>
        <v>1</v>
      </c>
      <c r="K224" s="212">
        <f t="shared" si="36"/>
        <v>4.1870000000000003</v>
      </c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212"/>
      <c r="AA224" s="212"/>
      <c r="AB224" s="212"/>
      <c r="AC224" s="196"/>
      <c r="AD224" s="27"/>
      <c r="AE224" s="213"/>
      <c r="AF224" s="212">
        <f t="shared" si="37"/>
        <v>-2.1847831896364411E-3</v>
      </c>
      <c r="AG224" s="212"/>
      <c r="AH224" s="212"/>
      <c r="AI224" s="212"/>
      <c r="AJ224" s="212"/>
      <c r="AK224" s="212"/>
      <c r="AL224" s="212"/>
      <c r="AM224" s="212"/>
      <c r="AN224" s="212"/>
      <c r="AO224" s="212"/>
      <c r="AP224" s="196"/>
      <c r="AQ224" s="196"/>
      <c r="AR224" s="211"/>
      <c r="AS224" s="212">
        <f t="shared" si="29"/>
        <v>-5.844377446955207E-5</v>
      </c>
      <c r="AT224" s="212">
        <f>[1]!LIM(AT223+Mode*r0*((1+IntegrationStep/2/Ti+Td/IntegrationStep)*AS224-(1-IntegrationStep/2/Ti+2*Td/IntegrationStep)*AS223+Td/IntegrationStep*AS222))</f>
        <v>0.40276848859361258</v>
      </c>
      <c r="AU224" s="212">
        <f t="shared" si="30"/>
        <v>40.794124671602574</v>
      </c>
      <c r="AW224" s="58"/>
      <c r="AX224" s="58"/>
      <c r="AY224" s="58"/>
      <c r="AZ224" s="58"/>
    </row>
    <row r="225" spans="1:52" s="185" customFormat="1" ht="15" customHeight="1" x14ac:dyDescent="0.25">
      <c r="A225" s="200"/>
      <c r="B225" s="211"/>
      <c r="C225" s="212">
        <f t="shared" si="31"/>
        <v>21.400000000000034</v>
      </c>
      <c r="D225" s="231">
        <f>15+[1]!STEPLOAD(5)</f>
        <v>20</v>
      </c>
      <c r="E225" s="212">
        <f t="shared" si="33"/>
        <v>40.799750570730566</v>
      </c>
      <c r="F225" s="212">
        <f t="shared" si="34"/>
        <v>0.5</v>
      </c>
      <c r="G225" s="212">
        <f>5</f>
        <v>5</v>
      </c>
      <c r="H225" s="212">
        <f t="shared" si="32"/>
        <v>48.333570428745482</v>
      </c>
      <c r="I225" s="212">
        <f t="shared" si="35"/>
        <v>0.9</v>
      </c>
      <c r="J225" s="212">
        <f>1</f>
        <v>1</v>
      </c>
      <c r="K225" s="212">
        <f t="shared" si="36"/>
        <v>4.1870000000000003</v>
      </c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212"/>
      <c r="AA225" s="212"/>
      <c r="AB225" s="212"/>
      <c r="AC225" s="196"/>
      <c r="AD225" s="27"/>
      <c r="AE225" s="213"/>
      <c r="AF225" s="212">
        <f t="shared" si="37"/>
        <v>-2.1048213018155515E-3</v>
      </c>
      <c r="AG225" s="212"/>
      <c r="AH225" s="212"/>
      <c r="AI225" s="212"/>
      <c r="AJ225" s="212"/>
      <c r="AK225" s="212"/>
      <c r="AL225" s="212"/>
      <c r="AM225" s="212"/>
      <c r="AN225" s="212"/>
      <c r="AO225" s="212"/>
      <c r="AP225" s="196"/>
      <c r="AQ225" s="196"/>
      <c r="AR225" s="211"/>
      <c r="AS225" s="212">
        <f t="shared" si="29"/>
        <v>-5.6258991279918294E-5</v>
      </c>
      <c r="AT225" s="212">
        <f>[1]!LIM(AT224+Mode*r0*((1+IntegrationStep/2/Ti+Td/IntegrationStep)*AS225-(1-IntegrationStep/2/Ti+2*Td/IntegrationStep)*AS224+Td/IntegrationStep*AS223))</f>
        <v>0.40277975357287904</v>
      </c>
      <c r="AU225" s="212">
        <f t="shared" si="30"/>
        <v>40.794124671602574</v>
      </c>
      <c r="AW225" s="58"/>
      <c r="AX225" s="58"/>
      <c r="AY225" s="58"/>
      <c r="AZ225" s="58"/>
    </row>
    <row r="226" spans="1:52" s="185" customFormat="1" ht="15" customHeight="1" x14ac:dyDescent="0.25">
      <c r="A226" s="200"/>
      <c r="B226" s="211"/>
      <c r="C226" s="212">
        <f t="shared" si="31"/>
        <v>21.500000000000036</v>
      </c>
      <c r="D226" s="231">
        <f>15+[1]!STEPLOAD(5)</f>
        <v>20</v>
      </c>
      <c r="E226" s="212">
        <f t="shared" si="33"/>
        <v>40.799540088600388</v>
      </c>
      <c r="F226" s="212">
        <f t="shared" si="34"/>
        <v>0.5</v>
      </c>
      <c r="G226" s="212">
        <f>5</f>
        <v>5</v>
      </c>
      <c r="H226" s="212">
        <f t="shared" si="32"/>
        <v>48.334874810960393</v>
      </c>
      <c r="I226" s="212">
        <f t="shared" si="35"/>
        <v>0.9</v>
      </c>
      <c r="J226" s="212">
        <f>1</f>
        <v>1</v>
      </c>
      <c r="K226" s="212">
        <f t="shared" si="36"/>
        <v>4.1870000000000003</v>
      </c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212"/>
      <c r="AA226" s="212"/>
      <c r="AB226" s="212"/>
      <c r="AC226" s="196"/>
      <c r="AD226" s="27"/>
      <c r="AE226" s="213"/>
      <c r="AF226" s="212">
        <f t="shared" si="37"/>
        <v>-2.0276974263464531E-3</v>
      </c>
      <c r="AG226" s="212"/>
      <c r="AH226" s="212"/>
      <c r="AI226" s="212"/>
      <c r="AJ226" s="212"/>
      <c r="AK226" s="212"/>
      <c r="AL226" s="212"/>
      <c r="AM226" s="212"/>
      <c r="AN226" s="212"/>
      <c r="AO226" s="212"/>
      <c r="AP226" s="196"/>
      <c r="AQ226" s="196"/>
      <c r="AR226" s="211"/>
      <c r="AS226" s="212">
        <f t="shared" si="29"/>
        <v>-5.4154169978133379E-5</v>
      </c>
      <c r="AT226" s="212">
        <f>[1]!LIM(AT225+Mode*r0*((1+IntegrationStep/2/Ti+Td/IntegrationStep)*AS226-(1-IntegrationStep/2/Ti+2*Td/IntegrationStep)*AS225+Td/IntegrationStep*AS224))</f>
        <v>0.40279062342466992</v>
      </c>
      <c r="AU226" s="212">
        <f t="shared" si="30"/>
        <v>40.794124671602574</v>
      </c>
      <c r="AW226" s="58"/>
      <c r="AX226" s="58"/>
      <c r="AY226" s="58"/>
      <c r="AZ226" s="58"/>
    </row>
    <row r="227" spans="1:52" s="185" customFormat="1" ht="15" customHeight="1" x14ac:dyDescent="0.25">
      <c r="A227" s="200"/>
      <c r="B227" s="211"/>
      <c r="C227" s="212">
        <f t="shared" si="31"/>
        <v>21.600000000000037</v>
      </c>
      <c r="D227" s="231">
        <f>15+[1]!STEPLOAD(5)</f>
        <v>20</v>
      </c>
      <c r="E227" s="212">
        <f t="shared" si="33"/>
        <v>40.799337318857752</v>
      </c>
      <c r="F227" s="212">
        <f t="shared" si="34"/>
        <v>0.5</v>
      </c>
      <c r="G227" s="212">
        <f>5</f>
        <v>5</v>
      </c>
      <c r="H227" s="212">
        <f t="shared" si="32"/>
        <v>48.336133351870913</v>
      </c>
      <c r="I227" s="212">
        <f t="shared" si="35"/>
        <v>0.9</v>
      </c>
      <c r="J227" s="212">
        <f>1</f>
        <v>1</v>
      </c>
      <c r="K227" s="212">
        <f t="shared" si="36"/>
        <v>4.1870000000000003</v>
      </c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212"/>
      <c r="AA227" s="212"/>
      <c r="AB227" s="212"/>
      <c r="AC227" s="196"/>
      <c r="AD227" s="27"/>
      <c r="AE227" s="213"/>
      <c r="AF227" s="212">
        <f t="shared" si="37"/>
        <v>-1.9533155168320882E-3</v>
      </c>
      <c r="AG227" s="212"/>
      <c r="AH227" s="212"/>
      <c r="AI227" s="212"/>
      <c r="AJ227" s="212"/>
      <c r="AK227" s="212"/>
      <c r="AL227" s="212"/>
      <c r="AM227" s="212"/>
      <c r="AN227" s="212"/>
      <c r="AO227" s="212"/>
      <c r="AP227" s="196"/>
      <c r="AQ227" s="196"/>
      <c r="AR227" s="211"/>
      <c r="AS227" s="212">
        <f t="shared" si="29"/>
        <v>-5.2126472551776716E-5</v>
      </c>
      <c r="AT227" s="212">
        <f>[1]!LIM(AT226+Mode*r0*((1+IntegrationStep/2/Ti+Td/IntegrationStep)*AS227-(1-IntegrationStep/2/Ti+2*Td/IntegrationStep)*AS226+Td/IntegrationStep*AS225))</f>
        <v>0.40280111126559093</v>
      </c>
      <c r="AU227" s="212">
        <f t="shared" si="30"/>
        <v>40.794124671602574</v>
      </c>
      <c r="AW227" s="58"/>
      <c r="AX227" s="58"/>
      <c r="AY227" s="58"/>
      <c r="AZ227" s="58"/>
    </row>
    <row r="228" spans="1:52" s="185" customFormat="1" ht="15" customHeight="1" x14ac:dyDescent="0.25">
      <c r="A228" s="200"/>
      <c r="B228" s="211"/>
      <c r="C228" s="212">
        <f t="shared" si="31"/>
        <v>21.700000000000038</v>
      </c>
      <c r="D228" s="231">
        <f>15+[1]!STEPLOAD(5)</f>
        <v>20</v>
      </c>
      <c r="E228" s="212">
        <f t="shared" si="33"/>
        <v>40.799141987306072</v>
      </c>
      <c r="F228" s="212">
        <f t="shared" si="34"/>
        <v>0.5</v>
      </c>
      <c r="G228" s="212">
        <f>5</f>
        <v>5</v>
      </c>
      <c r="H228" s="212">
        <f t="shared" si="32"/>
        <v>48.33734757813545</v>
      </c>
      <c r="I228" s="212">
        <f t="shared" si="35"/>
        <v>0.9</v>
      </c>
      <c r="J228" s="212">
        <f>1</f>
        <v>1</v>
      </c>
      <c r="K228" s="212">
        <f t="shared" si="36"/>
        <v>4.1870000000000003</v>
      </c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212"/>
      <c r="AA228" s="212"/>
      <c r="AB228" s="212"/>
      <c r="AC228" s="196"/>
      <c r="AD228" s="27"/>
      <c r="AE228" s="213"/>
      <c r="AF228" s="212">
        <f t="shared" si="37"/>
        <v>-1.8815825222522342E-3</v>
      </c>
      <c r="AG228" s="212"/>
      <c r="AH228" s="212"/>
      <c r="AI228" s="212"/>
      <c r="AJ228" s="212"/>
      <c r="AK228" s="212"/>
      <c r="AL228" s="212"/>
      <c r="AM228" s="212"/>
      <c r="AN228" s="212"/>
      <c r="AO228" s="212"/>
      <c r="AP228" s="196"/>
      <c r="AQ228" s="196"/>
      <c r="AR228" s="211"/>
      <c r="AS228" s="212">
        <f t="shared" si="29"/>
        <v>-5.0173157034976157E-5</v>
      </c>
      <c r="AT228" s="212">
        <f>[1]!LIM(AT227+Mode*r0*((1+IntegrationStep/2/Ti+Td/IntegrationStep)*AS228-(1-IntegrationStep/2/Ti+2*Td/IntegrationStep)*AS227+Td/IntegrationStep*AS226))</f>
        <v>0.40281122981779544</v>
      </c>
      <c r="AU228" s="212">
        <f t="shared" si="30"/>
        <v>40.794124671602574</v>
      </c>
      <c r="AW228" s="58"/>
      <c r="AX228" s="58"/>
      <c r="AY228" s="58"/>
      <c r="AZ228" s="58"/>
    </row>
    <row r="229" spans="1:52" s="185" customFormat="1" ht="15" customHeight="1" x14ac:dyDescent="0.25">
      <c r="A229" s="200"/>
      <c r="B229" s="211"/>
      <c r="C229" s="212">
        <f t="shared" si="31"/>
        <v>21.80000000000004</v>
      </c>
      <c r="D229" s="231">
        <f>15+[1]!STEPLOAD(5)</f>
        <v>20</v>
      </c>
      <c r="E229" s="212">
        <f t="shared" si="33"/>
        <v>40.798953829053843</v>
      </c>
      <c r="F229" s="212">
        <f t="shared" si="34"/>
        <v>0.5</v>
      </c>
      <c r="G229" s="212">
        <f>5</f>
        <v>5</v>
      </c>
      <c r="H229" s="212">
        <f t="shared" si="32"/>
        <v>48.338518970215745</v>
      </c>
      <c r="I229" s="212">
        <f t="shared" si="35"/>
        <v>0.9</v>
      </c>
      <c r="J229" s="212">
        <f>1</f>
        <v>1</v>
      </c>
      <c r="K229" s="212">
        <f t="shared" si="36"/>
        <v>4.1870000000000003</v>
      </c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212"/>
      <c r="AA229" s="212"/>
      <c r="AB229" s="212"/>
      <c r="AC229" s="196"/>
      <c r="AD229" s="27"/>
      <c r="AE229" s="213"/>
      <c r="AF229" s="212">
        <f t="shared" si="37"/>
        <v>-1.8124083080990339E-3</v>
      </c>
      <c r="AG229" s="212"/>
      <c r="AH229" s="212"/>
      <c r="AI229" s="212"/>
      <c r="AJ229" s="212"/>
      <c r="AK229" s="212"/>
      <c r="AL229" s="212"/>
      <c r="AM229" s="212"/>
      <c r="AN229" s="212"/>
      <c r="AO229" s="212"/>
      <c r="AP229" s="196"/>
      <c r="AQ229" s="196"/>
      <c r="AR229" s="211"/>
      <c r="AS229" s="212">
        <f t="shared" si="29"/>
        <v>-4.8291574512688842E-5</v>
      </c>
      <c r="AT229" s="212">
        <f>[1]!LIM(AT228+Mode*r0*((1+IntegrationStep/2/Ti+Td/IntegrationStep)*AS229-(1-IntegrationStep/2/Ti+2*Td/IntegrationStep)*AS228+Td/IntegrationStep*AS227))</f>
        <v>0.40282099141846456</v>
      </c>
      <c r="AU229" s="212">
        <f t="shared" si="30"/>
        <v>40.794124671602574</v>
      </c>
      <c r="AW229" s="58"/>
      <c r="AX229" s="58"/>
      <c r="AY229" s="58"/>
      <c r="AZ229" s="58"/>
    </row>
    <row r="230" spans="1:52" s="185" customFormat="1" ht="15" customHeight="1" x14ac:dyDescent="0.25">
      <c r="A230" s="200"/>
      <c r="B230" s="211"/>
      <c r="C230" s="212">
        <f t="shared" si="31"/>
        <v>21.900000000000041</v>
      </c>
      <c r="D230" s="231">
        <f>15+[1]!STEPLOAD(5)</f>
        <v>20</v>
      </c>
      <c r="E230" s="212">
        <f t="shared" si="33"/>
        <v>40.798772588223031</v>
      </c>
      <c r="F230" s="212">
        <f t="shared" si="34"/>
        <v>0.5</v>
      </c>
      <c r="G230" s="212">
        <f>5</f>
        <v>5</v>
      </c>
      <c r="H230" s="212">
        <f t="shared" si="32"/>
        <v>48.339648963504231</v>
      </c>
      <c r="I230" s="212">
        <f t="shared" si="35"/>
        <v>0.9</v>
      </c>
      <c r="J230" s="212">
        <f>1</f>
        <v>1</v>
      </c>
      <c r="K230" s="212">
        <f t="shared" si="36"/>
        <v>4.1870000000000003</v>
      </c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212"/>
      <c r="AA230" s="212"/>
      <c r="AB230" s="212"/>
      <c r="AC230" s="196"/>
      <c r="AD230" s="27"/>
      <c r="AE230" s="213"/>
      <c r="AF230" s="212">
        <f t="shared" si="37"/>
        <v>-1.7457055787493125E-3</v>
      </c>
      <c r="AG230" s="212"/>
      <c r="AH230" s="212"/>
      <c r="AI230" s="212"/>
      <c r="AJ230" s="212"/>
      <c r="AK230" s="212"/>
      <c r="AL230" s="212"/>
      <c r="AM230" s="212"/>
      <c r="AN230" s="212"/>
      <c r="AO230" s="212"/>
      <c r="AP230" s="196"/>
      <c r="AQ230" s="196"/>
      <c r="AR230" s="211"/>
      <c r="AS230" s="212">
        <f t="shared" si="29"/>
        <v>-4.6479166204562713E-5</v>
      </c>
      <c r="AT230" s="212">
        <f>[1]!LIM(AT229+Mode*r0*((1+IntegrationStep/2/Ti+Td/IntegrationStep)*AS230-(1-IntegrationStep/2/Ti+2*Td/IntegrationStep)*AS229+Td/IntegrationStep*AS228))</f>
        <v>0.40283040802920195</v>
      </c>
      <c r="AU230" s="212">
        <f t="shared" si="30"/>
        <v>40.794124671602574</v>
      </c>
      <c r="AW230" s="58"/>
      <c r="AX230" s="58"/>
      <c r="AY230" s="58"/>
      <c r="AZ230" s="58"/>
    </row>
    <row r="231" spans="1:52" s="185" customFormat="1" ht="15" customHeight="1" x14ac:dyDescent="0.25">
      <c r="A231" s="200"/>
      <c r="B231" s="211"/>
      <c r="C231" s="212">
        <f t="shared" si="31"/>
        <v>22.000000000000043</v>
      </c>
      <c r="D231" s="231">
        <f>15+[1]!STEPLOAD(5)</f>
        <v>20</v>
      </c>
      <c r="E231" s="212">
        <f t="shared" si="33"/>
        <v>40.798598017665157</v>
      </c>
      <c r="F231" s="212">
        <f t="shared" si="34"/>
        <v>0.5</v>
      </c>
      <c r="G231" s="212">
        <f>5</f>
        <v>5</v>
      </c>
      <c r="H231" s="212">
        <f t="shared" si="32"/>
        <v>48.34073894944229</v>
      </c>
      <c r="I231" s="212">
        <f t="shared" si="35"/>
        <v>0.9</v>
      </c>
      <c r="J231" s="212">
        <f>1</f>
        <v>1</v>
      </c>
      <c r="K231" s="212">
        <f t="shared" si="36"/>
        <v>4.1870000000000003</v>
      </c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212"/>
      <c r="AA231" s="212"/>
      <c r="AB231" s="212"/>
      <c r="AC231" s="196"/>
      <c r="AD231" s="27"/>
      <c r="AE231" s="213"/>
      <c r="AF231" s="212">
        <f t="shared" si="37"/>
        <v>-1.6813898010004102E-3</v>
      </c>
      <c r="AG231" s="212"/>
      <c r="AH231" s="212"/>
      <c r="AI231" s="212"/>
      <c r="AJ231" s="212"/>
      <c r="AK231" s="212"/>
      <c r="AL231" s="212"/>
      <c r="AM231" s="212"/>
      <c r="AN231" s="212"/>
      <c r="AO231" s="212"/>
      <c r="AP231" s="196"/>
      <c r="AQ231" s="196"/>
      <c r="AR231" s="211"/>
      <c r="AS231" s="212">
        <f t="shared" si="29"/>
        <v>-4.4733460625820954E-5</v>
      </c>
      <c r="AT231" s="212">
        <f>[1]!LIM(AT230+Mode*r0*((1+IntegrationStep/2/Ti+Td/IntegrationStep)*AS231-(1-IntegrationStep/2/Ti+2*Td/IntegrationStep)*AS230+Td/IntegrationStep*AS229))</f>
        <v>0.4028394912453524</v>
      </c>
      <c r="AU231" s="212">
        <f t="shared" si="30"/>
        <v>40.794124671602574</v>
      </c>
      <c r="AW231" s="58"/>
      <c r="AX231" s="58"/>
      <c r="AY231" s="58"/>
      <c r="AZ231" s="58"/>
    </row>
    <row r="232" spans="1:52" s="185" customFormat="1" ht="15" customHeight="1" x14ac:dyDescent="0.25">
      <c r="A232" s="200"/>
      <c r="B232" s="211"/>
      <c r="C232" s="212">
        <f t="shared" si="31"/>
        <v>22.100000000000044</v>
      </c>
      <c r="D232" s="231">
        <f>15+[1]!STEPLOAD(5)</f>
        <v>20</v>
      </c>
      <c r="E232" s="212">
        <f t="shared" si="33"/>
        <v>40.798429878685056</v>
      </c>
      <c r="F232" s="212">
        <f t="shared" si="34"/>
        <v>0.5</v>
      </c>
      <c r="G232" s="212">
        <f>5</f>
        <v>5</v>
      </c>
      <c r="H232" s="212">
        <f t="shared" si="32"/>
        <v>48.341790276626462</v>
      </c>
      <c r="I232" s="212">
        <f t="shared" si="35"/>
        <v>0.9</v>
      </c>
      <c r="J232" s="212">
        <f>1</f>
        <v>1</v>
      </c>
      <c r="K232" s="212">
        <f t="shared" si="36"/>
        <v>4.1870000000000003</v>
      </c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212"/>
      <c r="AA232" s="212"/>
      <c r="AB232" s="212"/>
      <c r="AC232" s="196"/>
      <c r="AD232" s="27"/>
      <c r="AE232" s="213"/>
      <c r="AF232" s="212">
        <f t="shared" si="37"/>
        <v>-1.6193791288920956E-3</v>
      </c>
      <c r="AG232" s="212"/>
      <c r="AH232" s="212"/>
      <c r="AI232" s="212"/>
      <c r="AJ232" s="212"/>
      <c r="AK232" s="212"/>
      <c r="AL232" s="212"/>
      <c r="AM232" s="212"/>
      <c r="AN232" s="212"/>
      <c r="AO232" s="212"/>
      <c r="AP232" s="196"/>
      <c r="AQ232" s="196"/>
      <c r="AR232" s="211"/>
      <c r="AS232" s="212">
        <f t="shared" si="29"/>
        <v>-4.3052070824813883E-5</v>
      </c>
      <c r="AT232" s="212">
        <f>[1]!LIM(AT231+Mode*r0*((1+IntegrationStep/2/Ti+Td/IntegrationStep)*AS232-(1-IntegrationStep/2/Ti+2*Td/IntegrationStep)*AS231+Td/IntegrationStep*AS230))</f>
        <v>0.40284825230522053</v>
      </c>
      <c r="AU232" s="212">
        <f t="shared" si="30"/>
        <v>40.794124671602574</v>
      </c>
      <c r="AW232" s="58"/>
      <c r="AX232" s="58"/>
      <c r="AY232" s="58"/>
      <c r="AZ232" s="58"/>
    </row>
    <row r="233" spans="1:52" s="185" customFormat="1" ht="15" customHeight="1" x14ac:dyDescent="0.25">
      <c r="A233" s="200"/>
      <c r="B233" s="211"/>
      <c r="C233" s="212">
        <f t="shared" si="31"/>
        <v>22.200000000000045</v>
      </c>
      <c r="D233" s="231">
        <f>15+[1]!STEPLOAD(5)</f>
        <v>20</v>
      </c>
      <c r="E233" s="212">
        <f t="shared" si="33"/>
        <v>40.798267940772163</v>
      </c>
      <c r="F233" s="212">
        <f t="shared" si="34"/>
        <v>0.5</v>
      </c>
      <c r="G233" s="212">
        <f>5</f>
        <v>5</v>
      </c>
      <c r="H233" s="212">
        <f t="shared" si="32"/>
        <v>48.342804251901811</v>
      </c>
      <c r="I233" s="212">
        <f t="shared" si="35"/>
        <v>0.9</v>
      </c>
      <c r="J233" s="212">
        <f>1</f>
        <v>1</v>
      </c>
      <c r="K233" s="212">
        <f t="shared" si="36"/>
        <v>4.1870000000000003</v>
      </c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212"/>
      <c r="AA233" s="212"/>
      <c r="AB233" s="212"/>
      <c r="AC233" s="196"/>
      <c r="AD233" s="27"/>
      <c r="AE233" s="213"/>
      <c r="AF233" s="212">
        <f t="shared" si="37"/>
        <v>-1.5595943298256643E-3</v>
      </c>
      <c r="AG233" s="212"/>
      <c r="AH233" s="212"/>
      <c r="AI233" s="212"/>
      <c r="AJ233" s="212"/>
      <c r="AK233" s="212"/>
      <c r="AL233" s="212"/>
      <c r="AM233" s="212"/>
      <c r="AN233" s="212"/>
      <c r="AO233" s="212"/>
      <c r="AP233" s="196"/>
      <c r="AQ233" s="196"/>
      <c r="AR233" s="211"/>
      <c r="AS233" s="212">
        <f t="shared" si="29"/>
        <v>-4.1432691695888479E-5</v>
      </c>
      <c r="AT233" s="212">
        <f>[1]!LIM(AT232+Mode*r0*((1+IntegrationStep/2/Ti+Td/IntegrationStep)*AS233-(1-IntegrationStep/2/Ti+2*Td/IntegrationStep)*AS232+Td/IntegrationStep*AS231))</f>
        <v>0.40285670209918178</v>
      </c>
      <c r="AU233" s="212">
        <f t="shared" si="30"/>
        <v>40.794124671602574</v>
      </c>
      <c r="AW233" s="58"/>
      <c r="AX233" s="58"/>
      <c r="AY233" s="58"/>
      <c r="AZ233" s="58"/>
    </row>
    <row r="234" spans="1:52" s="185" customFormat="1" ht="15" customHeight="1" x14ac:dyDescent="0.25">
      <c r="A234" s="200"/>
      <c r="B234" s="211"/>
      <c r="C234" s="212">
        <f t="shared" si="31"/>
        <v>22.300000000000047</v>
      </c>
      <c r="D234" s="231">
        <f>15+[1]!STEPLOAD(5)</f>
        <v>20</v>
      </c>
      <c r="E234" s="212">
        <f t="shared" si="33"/>
        <v>40.798111981339183</v>
      </c>
      <c r="F234" s="212">
        <f t="shared" si="34"/>
        <v>0.5</v>
      </c>
      <c r="G234" s="212">
        <f>5</f>
        <v>5</v>
      </c>
      <c r="H234" s="212">
        <f t="shared" si="32"/>
        <v>48.343782141441572</v>
      </c>
      <c r="I234" s="212">
        <f t="shared" si="35"/>
        <v>0.9</v>
      </c>
      <c r="J234" s="212">
        <f>1</f>
        <v>1</v>
      </c>
      <c r="K234" s="212">
        <f t="shared" si="36"/>
        <v>4.1870000000000003</v>
      </c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212"/>
      <c r="AA234" s="212"/>
      <c r="AB234" s="212"/>
      <c r="AC234" s="196"/>
      <c r="AD234" s="27"/>
      <c r="AE234" s="213"/>
      <c r="AF234" s="212">
        <f t="shared" si="37"/>
        <v>-1.5019587120215228E-3</v>
      </c>
      <c r="AG234" s="212"/>
      <c r="AH234" s="212"/>
      <c r="AI234" s="212"/>
      <c r="AJ234" s="212"/>
      <c r="AK234" s="212"/>
      <c r="AL234" s="212"/>
      <c r="AM234" s="212"/>
      <c r="AN234" s="212"/>
      <c r="AO234" s="212"/>
      <c r="AP234" s="196"/>
      <c r="AQ234" s="196"/>
      <c r="AR234" s="211"/>
      <c r="AS234" s="212">
        <f t="shared" si="29"/>
        <v>-3.9873097366083243E-5</v>
      </c>
      <c r="AT234" s="212">
        <f>[1]!LIM(AT233+Mode*r0*((1+IntegrationStep/2/Ti+Td/IntegrationStep)*AS234-(1-IntegrationStep/2/Ti+2*Td/IntegrationStep)*AS233+Td/IntegrationStep*AS232))</f>
        <v>0.40286485117867976</v>
      </c>
      <c r="AU234" s="212">
        <f t="shared" si="30"/>
        <v>40.794124671602574</v>
      </c>
      <c r="AW234" s="58"/>
      <c r="AX234" s="58"/>
      <c r="AY234" s="58"/>
      <c r="AZ234" s="58"/>
    </row>
    <row r="235" spans="1:52" s="185" customFormat="1" ht="15" customHeight="1" x14ac:dyDescent="0.25">
      <c r="A235" s="200"/>
      <c r="B235" s="211"/>
      <c r="C235" s="212">
        <f t="shared" si="31"/>
        <v>22.400000000000048</v>
      </c>
      <c r="D235" s="231">
        <f>15+[1]!STEPLOAD(5)</f>
        <v>20</v>
      </c>
      <c r="E235" s="212">
        <f t="shared" si="33"/>
        <v>40.797961785467983</v>
      </c>
      <c r="F235" s="212">
        <f t="shared" si="34"/>
        <v>0.5</v>
      </c>
      <c r="G235" s="212">
        <f>5</f>
        <v>5</v>
      </c>
      <c r="H235" s="212">
        <f t="shared" si="32"/>
        <v>48.344725171812719</v>
      </c>
      <c r="I235" s="212">
        <f t="shared" si="35"/>
        <v>0.9</v>
      </c>
      <c r="J235" s="212">
        <f>1</f>
        <v>1</v>
      </c>
      <c r="K235" s="212">
        <f t="shared" si="36"/>
        <v>4.1870000000000003</v>
      </c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212"/>
      <c r="AA235" s="212"/>
      <c r="AB235" s="212"/>
      <c r="AC235" s="196"/>
      <c r="AD235" s="27"/>
      <c r="AE235" s="213"/>
      <c r="AF235" s="212">
        <f t="shared" si="37"/>
        <v>-1.4463980532970488E-3</v>
      </c>
      <c r="AG235" s="212"/>
      <c r="AH235" s="212"/>
      <c r="AI235" s="212"/>
      <c r="AJ235" s="212"/>
      <c r="AK235" s="212"/>
      <c r="AL235" s="212"/>
      <c r="AM235" s="212"/>
      <c r="AN235" s="212"/>
      <c r="AO235" s="212"/>
      <c r="AP235" s="196"/>
      <c r="AQ235" s="196"/>
      <c r="AR235" s="211"/>
      <c r="AS235" s="212">
        <f t="shared" si="29"/>
        <v>-3.8371138654085259E-5</v>
      </c>
      <c r="AT235" s="212">
        <f>[1]!LIM(AT234+Mode*r0*((1+IntegrationStep/2/Ti+Td/IntegrationStep)*AS235-(1-IntegrationStep/2/Ti+2*Td/IntegrationStep)*AS234+Td/IntegrationStep*AS233))</f>
        <v>0.40287270976510597</v>
      </c>
      <c r="AU235" s="212">
        <f t="shared" si="30"/>
        <v>40.794124671602574</v>
      </c>
      <c r="AW235" s="58"/>
      <c r="AX235" s="58"/>
      <c r="AY235" s="58"/>
      <c r="AZ235" s="58"/>
    </row>
    <row r="236" spans="1:52" s="185" customFormat="1" ht="15" customHeight="1" x14ac:dyDescent="0.25">
      <c r="A236" s="200"/>
      <c r="B236" s="211"/>
      <c r="C236" s="212">
        <f t="shared" si="31"/>
        <v>22.50000000000005</v>
      </c>
      <c r="D236" s="231">
        <f>15+[1]!STEPLOAD(5)</f>
        <v>20</v>
      </c>
      <c r="E236" s="212">
        <f t="shared" si="33"/>
        <v>40.797817145662655</v>
      </c>
      <c r="F236" s="212">
        <f t="shared" si="34"/>
        <v>0.5</v>
      </c>
      <c r="G236" s="212">
        <f>5</f>
        <v>5</v>
      </c>
      <c r="H236" s="212">
        <f t="shared" si="32"/>
        <v>48.345634531025375</v>
      </c>
      <c r="I236" s="212">
        <f t="shared" si="35"/>
        <v>0.9</v>
      </c>
      <c r="J236" s="212">
        <f>1</f>
        <v>1</v>
      </c>
      <c r="K236" s="212">
        <f t="shared" si="36"/>
        <v>4.1870000000000003</v>
      </c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212"/>
      <c r="AA236" s="212"/>
      <c r="AB236" s="212"/>
      <c r="AC236" s="196"/>
      <c r="AD236" s="27"/>
      <c r="AE236" s="213"/>
      <c r="AF236" s="212">
        <f t="shared" si="37"/>
        <v>-1.3928405312606529E-3</v>
      </c>
      <c r="AG236" s="212"/>
      <c r="AH236" s="212"/>
      <c r="AI236" s="212"/>
      <c r="AJ236" s="212"/>
      <c r="AK236" s="212"/>
      <c r="AL236" s="212"/>
      <c r="AM236" s="212"/>
      <c r="AN236" s="212"/>
      <c r="AO236" s="212"/>
      <c r="AP236" s="196"/>
      <c r="AQ236" s="196"/>
      <c r="AR236" s="211"/>
      <c r="AS236" s="212">
        <f t="shared" si="29"/>
        <v>-3.6924740600809968E-5</v>
      </c>
      <c r="AT236" s="212">
        <f>[1]!LIM(AT235+Mode*r0*((1+IntegrationStep/2/Ti+Td/IntegrationStep)*AS236-(1-IntegrationStep/2/Ti+2*Td/IntegrationStep)*AS235+Td/IntegrationStep*AS234))</f>
        <v>0.40288028775854479</v>
      </c>
      <c r="AU236" s="212">
        <f t="shared" si="30"/>
        <v>40.794124671602574</v>
      </c>
      <c r="AW236" s="58"/>
      <c r="AX236" s="58"/>
      <c r="AY236" s="58"/>
      <c r="AZ236" s="58"/>
    </row>
    <row r="237" spans="1:52" s="185" customFormat="1" ht="15" customHeight="1" x14ac:dyDescent="0.25">
      <c r="A237" s="200"/>
      <c r="B237" s="211"/>
      <c r="C237" s="212">
        <f t="shared" si="31"/>
        <v>22.600000000000051</v>
      </c>
      <c r="D237" s="231">
        <f>15+[1]!STEPLOAD(5)</f>
        <v>20</v>
      </c>
      <c r="E237" s="212">
        <f t="shared" si="33"/>
        <v>40.797677861609529</v>
      </c>
      <c r="F237" s="212">
        <f t="shared" si="34"/>
        <v>0.5</v>
      </c>
      <c r="G237" s="212">
        <f>5</f>
        <v>5</v>
      </c>
      <c r="H237" s="212">
        <f t="shared" si="32"/>
        <v>48.346511369566571</v>
      </c>
      <c r="I237" s="212">
        <f t="shared" si="35"/>
        <v>0.9</v>
      </c>
      <c r="J237" s="212">
        <f>1</f>
        <v>1</v>
      </c>
      <c r="K237" s="212">
        <f t="shared" si="36"/>
        <v>4.1870000000000003</v>
      </c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212"/>
      <c r="AA237" s="212"/>
      <c r="AB237" s="212"/>
      <c r="AC237" s="196"/>
      <c r="AD237" s="27"/>
      <c r="AE237" s="213"/>
      <c r="AF237" s="212">
        <f t="shared" si="37"/>
        <v>-1.3412166548669724E-3</v>
      </c>
      <c r="AG237" s="212"/>
      <c r="AH237" s="212"/>
      <c r="AI237" s="212"/>
      <c r="AJ237" s="212"/>
      <c r="AK237" s="212"/>
      <c r="AL237" s="212"/>
      <c r="AM237" s="212"/>
      <c r="AN237" s="212"/>
      <c r="AO237" s="212"/>
      <c r="AP237" s="196"/>
      <c r="AQ237" s="196"/>
      <c r="AR237" s="211"/>
      <c r="AS237" s="212">
        <f t="shared" si="29"/>
        <v>-3.5531900069543097E-5</v>
      </c>
      <c r="AT237" s="212">
        <f>[1]!LIM(AT236+Mode*r0*((1+IntegrationStep/2/Ti+Td/IntegrationStep)*AS237-(1-IntegrationStep/2/Ti+2*Td/IntegrationStep)*AS236+Td/IntegrationStep*AS235))</f>
        <v>0.40288759474638808</v>
      </c>
      <c r="AU237" s="212">
        <f t="shared" si="30"/>
        <v>40.794124671602574</v>
      </c>
      <c r="AW237" s="58"/>
      <c r="AX237" s="58"/>
      <c r="AY237" s="58"/>
      <c r="AZ237" s="58"/>
    </row>
    <row r="238" spans="1:52" s="185" customFormat="1" ht="15" customHeight="1" x14ac:dyDescent="0.25">
      <c r="A238" s="200"/>
      <c r="B238" s="211"/>
      <c r="C238" s="212">
        <f t="shared" si="31"/>
        <v>22.700000000000053</v>
      </c>
      <c r="D238" s="231">
        <f>15+[1]!STEPLOAD(5)</f>
        <v>20</v>
      </c>
      <c r="E238" s="212">
        <f t="shared" si="33"/>
        <v>40.797543739944039</v>
      </c>
      <c r="F238" s="212">
        <f t="shared" si="34"/>
        <v>0.5</v>
      </c>
      <c r="G238" s="212">
        <f>5</f>
        <v>5</v>
      </c>
      <c r="H238" s="212">
        <f t="shared" si="32"/>
        <v>48.347356801416986</v>
      </c>
      <c r="I238" s="212">
        <f t="shared" si="35"/>
        <v>0.9</v>
      </c>
      <c r="J238" s="212">
        <f>1</f>
        <v>1</v>
      </c>
      <c r="K238" s="212">
        <f t="shared" si="36"/>
        <v>4.1870000000000003</v>
      </c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212"/>
      <c r="AA238" s="212"/>
      <c r="AB238" s="212"/>
      <c r="AC238" s="196"/>
      <c r="AD238" s="27"/>
      <c r="AE238" s="213"/>
      <c r="AF238" s="212">
        <f t="shared" si="37"/>
        <v>-1.2914591973998135E-3</v>
      </c>
      <c r="AG238" s="212"/>
      <c r="AH238" s="212"/>
      <c r="AI238" s="212"/>
      <c r="AJ238" s="212"/>
      <c r="AK238" s="212"/>
      <c r="AL238" s="212"/>
      <c r="AM238" s="212"/>
      <c r="AN238" s="212"/>
      <c r="AO238" s="212"/>
      <c r="AP238" s="196"/>
      <c r="AQ238" s="196"/>
      <c r="AR238" s="211"/>
      <c r="AS238" s="212">
        <f t="shared" si="29"/>
        <v>-3.4190683414649927E-5</v>
      </c>
      <c r="AT238" s="212">
        <f>[1]!LIM(AT237+Mode*r0*((1+IntegrationStep/2/Ti+Td/IntegrationStep)*AS238-(1-IntegrationStep/2/Ti+2*Td/IntegrationStep)*AS237+Td/IntegrationStep*AS236))</f>
        <v>0.40289464001180819</v>
      </c>
      <c r="AU238" s="212">
        <f t="shared" si="30"/>
        <v>40.794124671602574</v>
      </c>
      <c r="AW238" s="58"/>
      <c r="AX238" s="58"/>
      <c r="AY238" s="58"/>
      <c r="AZ238" s="58"/>
    </row>
    <row r="239" spans="1:52" s="185" customFormat="1" ht="15" customHeight="1" x14ac:dyDescent="0.25">
      <c r="A239" s="200"/>
      <c r="B239" s="211"/>
      <c r="C239" s="212">
        <f t="shared" si="31"/>
        <v>22.800000000000054</v>
      </c>
      <c r="D239" s="231">
        <f>15+[1]!STEPLOAD(5)</f>
        <v>20</v>
      </c>
      <c r="E239" s="212">
        <f t="shared" si="33"/>
        <v>40.797414594024296</v>
      </c>
      <c r="F239" s="212">
        <f t="shared" si="34"/>
        <v>0.5</v>
      </c>
      <c r="G239" s="212">
        <f>5</f>
        <v>5</v>
      </c>
      <c r="H239" s="212">
        <f t="shared" si="32"/>
        <v>48.348171905050648</v>
      </c>
      <c r="I239" s="212">
        <f t="shared" si="35"/>
        <v>0.9</v>
      </c>
      <c r="J239" s="212">
        <f>1</f>
        <v>1</v>
      </c>
      <c r="K239" s="212">
        <f t="shared" si="36"/>
        <v>4.1870000000000003</v>
      </c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212"/>
      <c r="AA239" s="212"/>
      <c r="AB239" s="212"/>
      <c r="AC239" s="196"/>
      <c r="AD239" s="27"/>
      <c r="AE239" s="213"/>
      <c r="AF239" s="212">
        <f t="shared" si="37"/>
        <v>-1.243503130846868E-3</v>
      </c>
      <c r="AG239" s="212"/>
      <c r="AH239" s="212"/>
      <c r="AI239" s="212"/>
      <c r="AJ239" s="212"/>
      <c r="AK239" s="212"/>
      <c r="AL239" s="212"/>
      <c r="AM239" s="212"/>
      <c r="AN239" s="212"/>
      <c r="AO239" s="212"/>
      <c r="AP239" s="196"/>
      <c r="AQ239" s="196"/>
      <c r="AR239" s="211"/>
      <c r="AS239" s="212">
        <f t="shared" si="29"/>
        <v>-3.2899224217217694E-5</v>
      </c>
      <c r="AT239" s="212">
        <f>[1]!LIM(AT238+Mode*r0*((1+IntegrationStep/2/Ti+Td/IntegrationStep)*AS239-(1-IntegrationStep/2/Ti+2*Td/IntegrationStep)*AS238+Td/IntegrationStep*AS237))</f>
        <v>0.40290143254208871</v>
      </c>
      <c r="AU239" s="212">
        <f t="shared" si="30"/>
        <v>40.794124671602574</v>
      </c>
      <c r="AW239" s="58"/>
      <c r="AX239" s="58"/>
      <c r="AY239" s="58"/>
      <c r="AZ239" s="58"/>
    </row>
    <row r="240" spans="1:52" s="185" customFormat="1" ht="15" customHeight="1" x14ac:dyDescent="0.25">
      <c r="A240" s="200"/>
      <c r="B240" s="211"/>
      <c r="C240" s="212">
        <f t="shared" si="31"/>
        <v>22.900000000000055</v>
      </c>
      <c r="D240" s="231">
        <f>15+[1]!STEPLOAD(5)</f>
        <v>20</v>
      </c>
      <c r="E240" s="212">
        <f t="shared" si="33"/>
        <v>40.79729024371121</v>
      </c>
      <c r="F240" s="212">
        <f t="shared" si="34"/>
        <v>0.5</v>
      </c>
      <c r="G240" s="212">
        <f>5</f>
        <v>5</v>
      </c>
      <c r="H240" s="212">
        <f t="shared" si="32"/>
        <v>48.34895772441687</v>
      </c>
      <c r="I240" s="212">
        <f t="shared" si="35"/>
        <v>0.9</v>
      </c>
      <c r="J240" s="212">
        <f>1</f>
        <v>1</v>
      </c>
      <c r="K240" s="212">
        <f t="shared" si="36"/>
        <v>4.1870000000000003</v>
      </c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212"/>
      <c r="AA240" s="212"/>
      <c r="AB240" s="212"/>
      <c r="AC240" s="196"/>
      <c r="AD240" s="27"/>
      <c r="AE240" s="213"/>
      <c r="AF240" s="212">
        <f t="shared" si="37"/>
        <v>-1.1972855617021771E-3</v>
      </c>
      <c r="AG240" s="212"/>
      <c r="AH240" s="212"/>
      <c r="AI240" s="212"/>
      <c r="AJ240" s="212"/>
      <c r="AK240" s="212"/>
      <c r="AL240" s="212"/>
      <c r="AM240" s="212"/>
      <c r="AN240" s="212"/>
      <c r="AO240" s="212"/>
      <c r="AP240" s="196"/>
      <c r="AQ240" s="196"/>
      <c r="AR240" s="211"/>
      <c r="AS240" s="212">
        <f t="shared" si="29"/>
        <v>-3.1655721086352176E-5</v>
      </c>
      <c r="AT240" s="212">
        <f>[1]!LIM(AT239+Mode*r0*((1+IntegrationStep/2/Ti+Td/IntegrationStep)*AS240-(1-IntegrationStep/2/Ti+2*Td/IntegrationStep)*AS239+Td/IntegrationStep*AS238))</f>
        <v>0.40290798103680725</v>
      </c>
      <c r="AU240" s="212">
        <f t="shared" si="30"/>
        <v>40.794124671602574</v>
      </c>
      <c r="AW240" s="58"/>
      <c r="AX240" s="58"/>
      <c r="AY240" s="58"/>
      <c r="AZ240" s="58"/>
    </row>
    <row r="241" spans="1:52" s="185" customFormat="1" ht="15" customHeight="1" x14ac:dyDescent="0.25">
      <c r="A241" s="200"/>
      <c r="B241" s="211"/>
      <c r="C241" s="212">
        <f t="shared" si="31"/>
        <v>23.000000000000057</v>
      </c>
      <c r="D241" s="231">
        <f>15+[1]!STEPLOAD(5)</f>
        <v>20</v>
      </c>
      <c r="E241" s="212">
        <f t="shared" si="33"/>
        <v>40.797170515155038</v>
      </c>
      <c r="F241" s="212">
        <f t="shared" si="34"/>
        <v>0.5</v>
      </c>
      <c r="G241" s="212">
        <f>5</f>
        <v>5</v>
      </c>
      <c r="H241" s="212">
        <f t="shared" si="32"/>
        <v>48.349715269904209</v>
      </c>
      <c r="I241" s="212">
        <f t="shared" si="35"/>
        <v>0.9</v>
      </c>
      <c r="J241" s="212">
        <f>1</f>
        <v>1</v>
      </c>
      <c r="K241" s="212">
        <f t="shared" si="36"/>
        <v>4.1870000000000003</v>
      </c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212"/>
      <c r="AA241" s="212"/>
      <c r="AB241" s="212"/>
      <c r="AC241" s="196"/>
      <c r="AD241" s="27"/>
      <c r="AE241" s="213"/>
      <c r="AF241" s="212">
        <f t="shared" si="37"/>
        <v>-1.1527456681772463E-3</v>
      </c>
      <c r="AG241" s="212"/>
      <c r="AH241" s="212"/>
      <c r="AI241" s="212"/>
      <c r="AJ241" s="212"/>
      <c r="AK241" s="212"/>
      <c r="AL241" s="212"/>
      <c r="AM241" s="212"/>
      <c r="AN241" s="212"/>
      <c r="AO241" s="212"/>
      <c r="AP241" s="196"/>
      <c r="AQ241" s="196"/>
      <c r="AR241" s="211"/>
      <c r="AS241" s="212">
        <f t="shared" si="29"/>
        <v>-3.0458435524636228E-5</v>
      </c>
      <c r="AT241" s="212">
        <f>[1]!LIM(AT240+Mode*r0*((1+IntegrationStep/2/Ti+Td/IntegrationStep)*AS241-(1-IntegrationStep/2/Ti+2*Td/IntegrationStep)*AS240+Td/IntegrationStep*AS239))</f>
        <v>0.40291429391586842</v>
      </c>
      <c r="AU241" s="212">
        <f t="shared" si="30"/>
        <v>40.794124671602574</v>
      </c>
      <c r="AW241" s="58"/>
      <c r="AX241" s="58"/>
      <c r="AY241" s="58"/>
      <c r="AZ241" s="58"/>
    </row>
    <row r="242" spans="1:52" s="185" customFormat="1" ht="15" customHeight="1" x14ac:dyDescent="0.25">
      <c r="A242" s="200"/>
      <c r="B242" s="211"/>
      <c r="C242" s="212">
        <f t="shared" si="31"/>
        <v>23.100000000000058</v>
      </c>
      <c r="D242" s="231">
        <f>15+[1]!STEPLOAD(5)</f>
        <v>20</v>
      </c>
      <c r="E242" s="212">
        <f t="shared" si="33"/>
        <v>40.797055240588222</v>
      </c>
      <c r="F242" s="212">
        <f t="shared" si="34"/>
        <v>0.5</v>
      </c>
      <c r="G242" s="212">
        <f>5</f>
        <v>5</v>
      </c>
      <c r="H242" s="212">
        <f t="shared" si="32"/>
        <v>48.350445519285834</v>
      </c>
      <c r="I242" s="212">
        <f t="shared" si="35"/>
        <v>0.9</v>
      </c>
      <c r="J242" s="212">
        <f>1</f>
        <v>1</v>
      </c>
      <c r="K242" s="212">
        <f t="shared" si="36"/>
        <v>4.1870000000000003</v>
      </c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212"/>
      <c r="AA242" s="212"/>
      <c r="AB242" s="212"/>
      <c r="AC242" s="196"/>
      <c r="AD242" s="27"/>
      <c r="AE242" s="213"/>
      <c r="AF242" s="212">
        <f t="shared" si="37"/>
        <v>-1.1098246388439037E-3</v>
      </c>
      <c r="AG242" s="212"/>
      <c r="AH242" s="212"/>
      <c r="AI242" s="212"/>
      <c r="AJ242" s="212"/>
      <c r="AK242" s="212"/>
      <c r="AL242" s="212"/>
      <c r="AM242" s="212"/>
      <c r="AN242" s="212"/>
      <c r="AO242" s="212"/>
      <c r="AP242" s="196"/>
      <c r="AQ242" s="196"/>
      <c r="AR242" s="211"/>
      <c r="AS242" s="212">
        <f t="shared" si="29"/>
        <v>-2.9305689856471418E-5</v>
      </c>
      <c r="AT242" s="212">
        <f>[1]!LIM(AT241+Mode*r0*((1+IntegrationStep/2/Ti+Td/IntegrationStep)*AS242-(1-IntegrationStep/2/Ti+2*Td/IntegrationStep)*AS241+Td/IntegrationStep*AS240))</f>
        <v>0.40292037932738195</v>
      </c>
      <c r="AU242" s="212">
        <f t="shared" si="30"/>
        <v>40.794124671602574</v>
      </c>
      <c r="AW242" s="58"/>
      <c r="AX242" s="58"/>
      <c r="AY242" s="58"/>
      <c r="AZ242" s="58"/>
    </row>
    <row r="243" spans="1:52" s="185" customFormat="1" ht="15" customHeight="1" x14ac:dyDescent="0.25">
      <c r="A243" s="200"/>
      <c r="B243" s="211"/>
      <c r="C243" s="212">
        <f t="shared" si="31"/>
        <v>23.20000000000006</v>
      </c>
      <c r="D243" s="231">
        <f>15+[1]!STEPLOAD(5)</f>
        <v>20</v>
      </c>
      <c r="E243" s="212">
        <f t="shared" si="33"/>
        <v>40.796944258124334</v>
      </c>
      <c r="F243" s="212">
        <f t="shared" si="34"/>
        <v>0.5</v>
      </c>
      <c r="G243" s="212">
        <f>5</f>
        <v>5</v>
      </c>
      <c r="H243" s="212">
        <f t="shared" si="32"/>
        <v>48.351149418646642</v>
      </c>
      <c r="I243" s="212">
        <f t="shared" si="35"/>
        <v>0.9</v>
      </c>
      <c r="J243" s="212">
        <f>1</f>
        <v>1</v>
      </c>
      <c r="K243" s="212">
        <f t="shared" si="36"/>
        <v>4.1870000000000003</v>
      </c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212"/>
      <c r="AA243" s="212"/>
      <c r="AB243" s="212"/>
      <c r="AC243" s="196"/>
      <c r="AD243" s="27"/>
      <c r="AE243" s="213"/>
      <c r="AF243" s="212">
        <f t="shared" si="37"/>
        <v>-1.0684656126733749E-3</v>
      </c>
      <c r="AG243" s="212"/>
      <c r="AH243" s="212"/>
      <c r="AI243" s="212"/>
      <c r="AJ243" s="212"/>
      <c r="AK243" s="212"/>
      <c r="AL243" s="212"/>
      <c r="AM243" s="212"/>
      <c r="AN243" s="212"/>
      <c r="AO243" s="212"/>
      <c r="AP243" s="196"/>
      <c r="AQ243" s="196"/>
      <c r="AR243" s="211"/>
      <c r="AS243" s="212">
        <f t="shared" si="29"/>
        <v>-2.8195865217597316E-5</v>
      </c>
      <c r="AT243" s="212">
        <f>[1]!LIM(AT242+Mode*r0*((1+IntegrationStep/2/Ti+Td/IntegrationStep)*AS243-(1-IntegrationStep/2/Ti+2*Td/IntegrationStep)*AS242+Td/IntegrationStep*AS241))</f>
        <v>0.40292624515538866</v>
      </c>
      <c r="AU243" s="212">
        <f t="shared" si="30"/>
        <v>40.794124671602574</v>
      </c>
      <c r="AW243" s="58"/>
      <c r="AX243" s="58"/>
      <c r="AY243" s="58"/>
      <c r="AZ243" s="58"/>
    </row>
    <row r="244" spans="1:52" s="185" customFormat="1" ht="15" customHeight="1" x14ac:dyDescent="0.25">
      <c r="A244" s="200"/>
      <c r="B244" s="211"/>
      <c r="C244" s="212">
        <f t="shared" si="31"/>
        <v>23.300000000000061</v>
      </c>
      <c r="D244" s="231">
        <f>15+[1]!STEPLOAD(5)</f>
        <v>20</v>
      </c>
      <c r="E244" s="212">
        <f t="shared" si="33"/>
        <v>40.796837411563068</v>
      </c>
      <c r="F244" s="212">
        <f t="shared" si="34"/>
        <v>0.5</v>
      </c>
      <c r="G244" s="212">
        <f>5</f>
        <v>5</v>
      </c>
      <c r="H244" s="212">
        <f t="shared" si="32"/>
        <v>48.351827883290923</v>
      </c>
      <c r="I244" s="212">
        <f t="shared" si="35"/>
        <v>0.9</v>
      </c>
      <c r="J244" s="212">
        <f>1</f>
        <v>1</v>
      </c>
      <c r="K244" s="212">
        <f t="shared" si="36"/>
        <v>4.1870000000000003</v>
      </c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212"/>
      <c r="AA244" s="212"/>
      <c r="AB244" s="212"/>
      <c r="AC244" s="196"/>
      <c r="AD244" s="27"/>
      <c r="AE244" s="213"/>
      <c r="AF244" s="212">
        <f t="shared" si="37"/>
        <v>-1.0286136205133189E-3</v>
      </c>
      <c r="AG244" s="212"/>
      <c r="AH244" s="212"/>
      <c r="AI244" s="212"/>
      <c r="AJ244" s="212"/>
      <c r="AK244" s="212"/>
      <c r="AL244" s="212"/>
      <c r="AM244" s="212"/>
      <c r="AN244" s="212"/>
      <c r="AO244" s="212"/>
      <c r="AP244" s="196"/>
      <c r="AQ244" s="196"/>
      <c r="AR244" s="211"/>
      <c r="AS244" s="212">
        <f t="shared" si="29"/>
        <v>-2.7127399604935933E-5</v>
      </c>
      <c r="AT244" s="212">
        <f>[1]!LIM(AT243+Mode*r0*((1+IntegrationStep/2/Ti+Td/IntegrationStep)*AS244-(1-IntegrationStep/2/Ti+2*Td/IntegrationStep)*AS243+Td/IntegrationStep*AS242))</f>
        <v>0.40293189902742438</v>
      </c>
      <c r="AU244" s="212">
        <f t="shared" si="30"/>
        <v>40.794124671602574</v>
      </c>
      <c r="AW244" s="58"/>
      <c r="AX244" s="58"/>
      <c r="AY244" s="58"/>
      <c r="AZ244" s="58"/>
    </row>
    <row r="245" spans="1:52" s="185" customFormat="1" ht="15" customHeight="1" x14ac:dyDescent="0.25">
      <c r="A245" s="200"/>
      <c r="B245" s="211"/>
      <c r="C245" s="212">
        <f t="shared" si="31"/>
        <v>23.400000000000063</v>
      </c>
      <c r="D245" s="231">
        <f>15+[1]!STEPLOAD(5)</f>
        <v>20</v>
      </c>
      <c r="E245" s="212">
        <f t="shared" si="33"/>
        <v>40.796734550201016</v>
      </c>
      <c r="F245" s="212">
        <f t="shared" si="34"/>
        <v>0.5</v>
      </c>
      <c r="G245" s="212">
        <f>5</f>
        <v>5</v>
      </c>
      <c r="H245" s="212">
        <f t="shared" si="32"/>
        <v>48.352481798632098</v>
      </c>
      <c r="I245" s="212">
        <f t="shared" si="35"/>
        <v>0.9</v>
      </c>
      <c r="J245" s="212">
        <f>1</f>
        <v>1</v>
      </c>
      <c r="K245" s="212">
        <f t="shared" si="36"/>
        <v>4.1870000000000003</v>
      </c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212"/>
      <c r="AA245" s="212"/>
      <c r="AB245" s="212"/>
      <c r="AC245" s="196"/>
      <c r="AD245" s="27"/>
      <c r="AE245" s="213"/>
      <c r="AF245" s="212">
        <f t="shared" si="37"/>
        <v>-9.9021552791711542E-4</v>
      </c>
      <c r="AG245" s="212"/>
      <c r="AH245" s="212"/>
      <c r="AI245" s="212"/>
      <c r="AJ245" s="212"/>
      <c r="AK245" s="212"/>
      <c r="AL245" s="212"/>
      <c r="AM245" s="212"/>
      <c r="AN245" s="212"/>
      <c r="AO245" s="212"/>
      <c r="AP245" s="196"/>
      <c r="AQ245" s="196"/>
      <c r="AR245" s="211"/>
      <c r="AS245" s="212">
        <f t="shared" si="29"/>
        <v>-2.6098785984416396E-5</v>
      </c>
      <c r="AT245" s="212">
        <f>[1]!LIM(AT244+Mode*r0*((1+IntegrationStep/2/Ti+Td/IntegrationStep)*AS245-(1-IntegrationStep/2/Ti+2*Td/IntegrationStep)*AS244+Td/IntegrationStep*AS243))</f>
        <v>0.40293734832193417</v>
      </c>
      <c r="AU245" s="212">
        <f t="shared" si="30"/>
        <v>40.794124671602574</v>
      </c>
      <c r="AW245" s="58"/>
      <c r="AX245" s="58"/>
      <c r="AY245" s="58"/>
      <c r="AZ245" s="58"/>
    </row>
    <row r="246" spans="1:52" s="185" customFormat="1" ht="15" customHeight="1" x14ac:dyDescent="0.25">
      <c r="A246" s="200"/>
      <c r="B246" s="211"/>
      <c r="C246" s="212">
        <f t="shared" si="31"/>
        <v>23.500000000000064</v>
      </c>
      <c r="D246" s="231">
        <f>15+[1]!STEPLOAD(5)</f>
        <v>20</v>
      </c>
      <c r="E246" s="212">
        <f t="shared" si="33"/>
        <v>40.796635528648224</v>
      </c>
      <c r="F246" s="212">
        <f t="shared" si="34"/>
        <v>0.5</v>
      </c>
      <c r="G246" s="212">
        <f>5</f>
        <v>5</v>
      </c>
      <c r="H246" s="212">
        <f t="shared" si="32"/>
        <v>48.353112021062437</v>
      </c>
      <c r="I246" s="212">
        <f t="shared" si="35"/>
        <v>0.9</v>
      </c>
      <c r="J246" s="212">
        <f>1</f>
        <v>1</v>
      </c>
      <c r="K246" s="212">
        <f t="shared" si="36"/>
        <v>4.1870000000000003</v>
      </c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212"/>
      <c r="AA246" s="212"/>
      <c r="AB246" s="212"/>
      <c r="AC246" s="196"/>
      <c r="AD246" s="27"/>
      <c r="AE246" s="213"/>
      <c r="AF246" s="212">
        <f t="shared" si="37"/>
        <v>-9.5321997940578385E-4</v>
      </c>
      <c r="AG246" s="212"/>
      <c r="AH246" s="212"/>
      <c r="AI246" s="212"/>
      <c r="AJ246" s="212"/>
      <c r="AK246" s="212"/>
      <c r="AL246" s="212"/>
      <c r="AM246" s="212"/>
      <c r="AN246" s="212"/>
      <c r="AO246" s="212"/>
      <c r="AP246" s="196"/>
      <c r="AQ246" s="196"/>
      <c r="AR246" s="211"/>
      <c r="AS246" s="212">
        <f t="shared" si="29"/>
        <v>-2.5108570456495725E-5</v>
      </c>
      <c r="AT246" s="212">
        <f>[1]!LIM(AT245+Mode*r0*((1+IntegrationStep/2/Ti+Td/IntegrationStep)*AS246-(1-IntegrationStep/2/Ti+2*Td/IntegrationStep)*AS245+Td/IntegrationStep*AS244))</f>
        <v>0.4029426001755203</v>
      </c>
      <c r="AU246" s="212">
        <f t="shared" si="30"/>
        <v>40.794124671602574</v>
      </c>
      <c r="AW246" s="58"/>
      <c r="AX246" s="58"/>
      <c r="AY246" s="58"/>
      <c r="AZ246" s="58"/>
    </row>
    <row r="247" spans="1:52" s="185" customFormat="1" ht="15" customHeight="1" x14ac:dyDescent="0.25">
      <c r="A247" s="200"/>
      <c r="B247" s="211"/>
      <c r="C247" s="212">
        <f t="shared" si="31"/>
        <v>23.600000000000065</v>
      </c>
      <c r="D247" s="231">
        <f>15+[1]!STEPLOAD(5)</f>
        <v>20</v>
      </c>
      <c r="E247" s="212">
        <f t="shared" si="33"/>
        <v>40.796540206650285</v>
      </c>
      <c r="F247" s="212">
        <f t="shared" si="34"/>
        <v>0.5</v>
      </c>
      <c r="G247" s="212">
        <f>5</f>
        <v>5</v>
      </c>
      <c r="H247" s="212">
        <f t="shared" si="32"/>
        <v>48.353719378804335</v>
      </c>
      <c r="I247" s="212">
        <f t="shared" si="35"/>
        <v>0.9</v>
      </c>
      <c r="J247" s="212">
        <f>1</f>
        <v>1</v>
      </c>
      <c r="K247" s="212">
        <f t="shared" si="36"/>
        <v>4.1870000000000003</v>
      </c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212"/>
      <c r="AA247" s="212"/>
      <c r="AB247" s="212"/>
      <c r="AC247" s="196"/>
      <c r="AD247" s="27"/>
      <c r="AE247" s="213"/>
      <c r="AF247" s="212">
        <f t="shared" si="37"/>
        <v>-9.1757734408748348E-4</v>
      </c>
      <c r="AG247" s="212"/>
      <c r="AH247" s="212"/>
      <c r="AI247" s="212"/>
      <c r="AJ247" s="212"/>
      <c r="AK247" s="212"/>
      <c r="AL247" s="212"/>
      <c r="AM247" s="212"/>
      <c r="AN247" s="212"/>
      <c r="AO247" s="212"/>
      <c r="AP247" s="196"/>
      <c r="AQ247" s="196"/>
      <c r="AR247" s="211"/>
      <c r="AS247" s="212">
        <f t="shared" si="29"/>
        <v>-2.4155350477101932E-5</v>
      </c>
      <c r="AT247" s="212">
        <f>[1]!LIM(AT246+Mode*r0*((1+IntegrationStep/2/Ti+Td/IntegrationStep)*AS247-(1-IntegrationStep/2/Ti+2*Td/IntegrationStep)*AS246+Td/IntegrationStep*AS245))</f>
        <v>0.40294766149003614</v>
      </c>
      <c r="AU247" s="212">
        <f t="shared" si="30"/>
        <v>40.794124671602574</v>
      </c>
      <c r="AW247" s="58"/>
      <c r="AX247" s="58"/>
      <c r="AY247" s="58"/>
      <c r="AZ247" s="58"/>
    </row>
    <row r="248" spans="1:52" s="185" customFormat="1" ht="15" customHeight="1" x14ac:dyDescent="0.25">
      <c r="A248" s="200"/>
      <c r="B248" s="211"/>
      <c r="C248" s="212">
        <f t="shared" si="31"/>
        <v>23.700000000000067</v>
      </c>
      <c r="D248" s="231">
        <f>15+[1]!STEPLOAD(5)</f>
        <v>20</v>
      </c>
      <c r="E248" s="212">
        <f t="shared" si="33"/>
        <v>40.796448448915875</v>
      </c>
      <c r="F248" s="212">
        <f t="shared" si="34"/>
        <v>0.5</v>
      </c>
      <c r="G248" s="212">
        <f>5</f>
        <v>5</v>
      </c>
      <c r="H248" s="212">
        <f t="shared" si="32"/>
        <v>48.354304672742487</v>
      </c>
      <c r="I248" s="212">
        <f t="shared" si="35"/>
        <v>0.9</v>
      </c>
      <c r="J248" s="212">
        <f>1</f>
        <v>1</v>
      </c>
      <c r="K248" s="212">
        <f t="shared" si="36"/>
        <v>4.1870000000000003</v>
      </c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212"/>
      <c r="AA248" s="212"/>
      <c r="AB248" s="212"/>
      <c r="AC248" s="196"/>
      <c r="AD248" s="27"/>
      <c r="AE248" s="213"/>
      <c r="AF248" s="212">
        <f t="shared" si="37"/>
        <v>-8.8323966262970899E-4</v>
      </c>
      <c r="AG248" s="212"/>
      <c r="AH248" s="212"/>
      <c r="AI248" s="212"/>
      <c r="AJ248" s="212"/>
      <c r="AK248" s="212"/>
      <c r="AL248" s="212"/>
      <c r="AM248" s="212"/>
      <c r="AN248" s="212"/>
      <c r="AO248" s="212"/>
      <c r="AP248" s="196"/>
      <c r="AQ248" s="196"/>
      <c r="AR248" s="211"/>
      <c r="AS248" s="212">
        <f t="shared" si="29"/>
        <v>-2.323777313300468E-5</v>
      </c>
      <c r="AT248" s="212">
        <f>[1]!LIM(AT247+Mode*r0*((1+IntegrationStep/2/Ti+Td/IntegrationStep)*AS248-(1-IntegrationStep/2/Ti+2*Td/IntegrationStep)*AS247+Td/IntegrationStep*AS246))</f>
        <v>0.40295253893952071</v>
      </c>
      <c r="AU248" s="212">
        <f t="shared" si="30"/>
        <v>40.794124671602574</v>
      </c>
      <c r="AW248" s="58"/>
      <c r="AX248" s="58"/>
      <c r="AY248" s="58"/>
      <c r="AZ248" s="58"/>
    </row>
    <row r="249" spans="1:52" s="185" customFormat="1" ht="15" customHeight="1" x14ac:dyDescent="0.25">
      <c r="A249" s="200"/>
      <c r="B249" s="211"/>
      <c r="C249" s="212">
        <f t="shared" si="31"/>
        <v>23.800000000000068</v>
      </c>
      <c r="D249" s="231">
        <f>15+[1]!STEPLOAD(5)</f>
        <v>20</v>
      </c>
      <c r="E249" s="212">
        <f t="shared" si="33"/>
        <v>40.796360124949615</v>
      </c>
      <c r="F249" s="212">
        <f t="shared" si="34"/>
        <v>0.5</v>
      </c>
      <c r="G249" s="212">
        <f>5</f>
        <v>5</v>
      </c>
      <c r="H249" s="212">
        <f t="shared" si="32"/>
        <v>48.354868677236588</v>
      </c>
      <c r="I249" s="212">
        <f t="shared" si="35"/>
        <v>0.9</v>
      </c>
      <c r="J249" s="212">
        <f>1</f>
        <v>1</v>
      </c>
      <c r="K249" s="212">
        <f t="shared" si="36"/>
        <v>4.1870000000000003</v>
      </c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212"/>
      <c r="AA249" s="212"/>
      <c r="AB249" s="212"/>
      <c r="AC249" s="196"/>
      <c r="AD249" s="27"/>
      <c r="AE249" s="213"/>
      <c r="AF249" s="212">
        <f t="shared" si="37"/>
        <v>-8.5016059561038304E-4</v>
      </c>
      <c r="AG249" s="212"/>
      <c r="AH249" s="212"/>
      <c r="AI249" s="212"/>
      <c r="AJ249" s="212"/>
      <c r="AK249" s="212"/>
      <c r="AL249" s="212"/>
      <c r="AM249" s="212"/>
      <c r="AN249" s="212"/>
      <c r="AO249" s="212"/>
      <c r="AP249" s="196"/>
      <c r="AQ249" s="196"/>
      <c r="AR249" s="211"/>
      <c r="AS249" s="212">
        <f t="shared" si="29"/>
        <v>-2.2354533470405613E-5</v>
      </c>
      <c r="AT249" s="212">
        <f>[1]!LIM(AT248+Mode*r0*((1+IntegrationStep/2/Ti+Td/IntegrationStep)*AS249-(1-IntegrationStep/2/Ti+2*Td/IntegrationStep)*AS248+Td/IntegrationStep*AS247))</f>
        <v>0.40295723897697155</v>
      </c>
      <c r="AU249" s="212">
        <f t="shared" si="30"/>
        <v>40.794124671602574</v>
      </c>
      <c r="AW249" s="58"/>
      <c r="AX249" s="58"/>
      <c r="AY249" s="58"/>
      <c r="AZ249" s="58"/>
    </row>
    <row r="250" spans="1:52" s="185" customFormat="1" ht="15" customHeight="1" x14ac:dyDescent="0.25">
      <c r="A250" s="200"/>
      <c r="B250" s="211"/>
      <c r="C250" s="212">
        <f t="shared" si="31"/>
        <v>23.90000000000007</v>
      </c>
      <c r="D250" s="231">
        <f>15+[1]!STEPLOAD(5)</f>
        <v>20</v>
      </c>
      <c r="E250" s="212">
        <f t="shared" si="33"/>
        <v>40.796275108890057</v>
      </c>
      <c r="F250" s="212">
        <f t="shared" si="34"/>
        <v>0.5</v>
      </c>
      <c r="G250" s="212">
        <f>5</f>
        <v>5</v>
      </c>
      <c r="H250" s="212">
        <f t="shared" si="32"/>
        <v>48.355412140915853</v>
      </c>
      <c r="I250" s="212">
        <f t="shared" si="35"/>
        <v>0.9</v>
      </c>
      <c r="J250" s="212">
        <f>1</f>
        <v>1</v>
      </c>
      <c r="K250" s="212">
        <f t="shared" si="36"/>
        <v>4.1870000000000003</v>
      </c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212"/>
      <c r="AA250" s="212"/>
      <c r="AB250" s="212"/>
      <c r="AC250" s="196"/>
      <c r="AD250" s="27"/>
      <c r="AE250" s="213"/>
      <c r="AF250" s="212">
        <f t="shared" si="37"/>
        <v>-8.1829537315858403E-4</v>
      </c>
      <c r="AG250" s="212"/>
      <c r="AH250" s="212"/>
      <c r="AI250" s="212"/>
      <c r="AJ250" s="212"/>
      <c r="AK250" s="212"/>
      <c r="AL250" s="212"/>
      <c r="AM250" s="212"/>
      <c r="AN250" s="212"/>
      <c r="AO250" s="212"/>
      <c r="AP250" s="196"/>
      <c r="AQ250" s="196"/>
      <c r="AR250" s="211"/>
      <c r="AS250" s="212">
        <f t="shared" si="29"/>
        <v>-2.1504372874829869E-5</v>
      </c>
      <c r="AT250" s="212">
        <f>[1]!LIM(AT249+Mode*r0*((1+IntegrationStep/2/Ti+Td/IntegrationStep)*AS250-(1-IntegrationStep/2/Ti+2*Td/IntegrationStep)*AS249+Td/IntegrationStep*AS248))</f>
        <v>0.40296176784096543</v>
      </c>
      <c r="AU250" s="212">
        <f t="shared" si="30"/>
        <v>40.794124671602574</v>
      </c>
      <c r="AW250" s="58"/>
      <c r="AX250" s="58"/>
      <c r="AY250" s="58"/>
      <c r="AZ250" s="58"/>
    </row>
    <row r="251" spans="1:52" s="185" customFormat="1" ht="15" customHeight="1" x14ac:dyDescent="0.25">
      <c r="A251" s="200"/>
      <c r="B251" s="211"/>
      <c r="C251" s="212">
        <f t="shared" si="31"/>
        <v>24.000000000000071</v>
      </c>
      <c r="D251" s="231">
        <f>15+[1]!STEPLOAD(5)</f>
        <v>20</v>
      </c>
      <c r="E251" s="212">
        <f t="shared" si="33"/>
        <v>40.796193279352742</v>
      </c>
      <c r="F251" s="212">
        <f t="shared" si="34"/>
        <v>0.5</v>
      </c>
      <c r="G251" s="212">
        <f>5</f>
        <v>5</v>
      </c>
      <c r="H251" s="212">
        <f t="shared" si="32"/>
        <v>48.355935787454051</v>
      </c>
      <c r="I251" s="212">
        <f t="shared" si="35"/>
        <v>0.9</v>
      </c>
      <c r="J251" s="212">
        <f>1</f>
        <v>1</v>
      </c>
      <c r="K251" s="212">
        <f t="shared" si="36"/>
        <v>4.1870000000000003</v>
      </c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212"/>
      <c r="AA251" s="212"/>
      <c r="AB251" s="212"/>
      <c r="AC251" s="196"/>
      <c r="AD251" s="27"/>
      <c r="AE251" s="213"/>
      <c r="AF251" s="212">
        <f t="shared" si="37"/>
        <v>-7.8760074594308449E-4</v>
      </c>
      <c r="AG251" s="212"/>
      <c r="AH251" s="212"/>
      <c r="AI251" s="212"/>
      <c r="AJ251" s="212"/>
      <c r="AK251" s="212"/>
      <c r="AL251" s="212"/>
      <c r="AM251" s="212"/>
      <c r="AN251" s="212"/>
      <c r="AO251" s="212"/>
      <c r="AP251" s="196"/>
      <c r="AQ251" s="196"/>
      <c r="AR251" s="211"/>
      <c r="AS251" s="212">
        <f t="shared" si="29"/>
        <v>-2.068607750167928E-5</v>
      </c>
      <c r="AT251" s="212">
        <f>[1]!LIM(AT250+Mode*r0*((1+IntegrationStep/2/Ti+Td/IntegrationStep)*AS251-(1-IntegrationStep/2/Ti+2*Td/IntegrationStep)*AS250+Td/IntegrationStep*AS249))</f>
        <v>0.40296613156211708</v>
      </c>
      <c r="AU251" s="212">
        <f t="shared" si="30"/>
        <v>40.794124671602574</v>
      </c>
      <c r="AW251" s="58"/>
      <c r="AX251" s="58"/>
      <c r="AY251" s="58"/>
      <c r="AZ251" s="58"/>
    </row>
    <row r="252" spans="1:52" s="185" customFormat="1" ht="15" customHeight="1" x14ac:dyDescent="0.25">
      <c r="A252" s="200"/>
      <c r="B252" s="211"/>
      <c r="C252" s="212">
        <f t="shared" si="31"/>
        <v>24.100000000000072</v>
      </c>
      <c r="D252" s="231">
        <f>15+[1]!STEPLOAD(5)</f>
        <v>20</v>
      </c>
      <c r="E252" s="212">
        <f t="shared" si="33"/>
        <v>40.796114519278149</v>
      </c>
      <c r="F252" s="212">
        <f t="shared" si="34"/>
        <v>0.5</v>
      </c>
      <c r="G252" s="212">
        <f>5</f>
        <v>5</v>
      </c>
      <c r="H252" s="212">
        <f t="shared" si="32"/>
        <v>48.356440316325944</v>
      </c>
      <c r="I252" s="212">
        <f t="shared" si="35"/>
        <v>0.9</v>
      </c>
      <c r="J252" s="212">
        <f>1</f>
        <v>1</v>
      </c>
      <c r="K252" s="212">
        <f t="shared" si="36"/>
        <v>4.1870000000000003</v>
      </c>
      <c r="L252" s="212"/>
      <c r="M252" s="212"/>
      <c r="N252" s="212"/>
      <c r="O252" s="212"/>
      <c r="P252" s="212"/>
      <c r="Q252" s="212"/>
      <c r="R252" s="212"/>
      <c r="S252" s="212"/>
      <c r="T252" s="212"/>
      <c r="U252" s="212"/>
      <c r="V252" s="212"/>
      <c r="W252" s="212"/>
      <c r="X252" s="212"/>
      <c r="Y252" s="212"/>
      <c r="Z252" s="212"/>
      <c r="AA252" s="212"/>
      <c r="AB252" s="212"/>
      <c r="AC252" s="196"/>
      <c r="AD252" s="27"/>
      <c r="AE252" s="213"/>
      <c r="AF252" s="212">
        <f t="shared" si="37"/>
        <v>-7.5803493744741601E-4</v>
      </c>
      <c r="AG252" s="212"/>
      <c r="AH252" s="212"/>
      <c r="AI252" s="212"/>
      <c r="AJ252" s="212"/>
      <c r="AK252" s="212"/>
      <c r="AL252" s="212"/>
      <c r="AM252" s="212"/>
      <c r="AN252" s="212"/>
      <c r="AO252" s="212"/>
      <c r="AP252" s="196"/>
      <c r="AQ252" s="196"/>
      <c r="AR252" s="211"/>
      <c r="AS252" s="212">
        <f t="shared" si="29"/>
        <v>-1.9898476755741966E-5</v>
      </c>
      <c r="AT252" s="212">
        <f>[1]!LIM(AT251+Mode*r0*((1+IntegrationStep/2/Ti+Td/IntegrationStep)*AS252-(1-IntegrationStep/2/Ti+2*Td/IntegrationStep)*AS251+Td/IntegrationStep*AS250))</f>
        <v>0.40297033596938286</v>
      </c>
      <c r="AU252" s="212">
        <f t="shared" si="30"/>
        <v>40.794124671602574</v>
      </c>
      <c r="AW252" s="58"/>
      <c r="AX252" s="58"/>
      <c r="AY252" s="58"/>
      <c r="AZ252" s="58"/>
    </row>
    <row r="253" spans="1:52" s="185" customFormat="1" ht="15" customHeight="1" x14ac:dyDescent="0.25">
      <c r="A253" s="200"/>
      <c r="B253" s="211"/>
      <c r="C253" s="212">
        <f t="shared" si="31"/>
        <v>24.200000000000074</v>
      </c>
      <c r="D253" s="231">
        <f>15+[1]!STEPLOAD(5)</f>
        <v>20</v>
      </c>
      <c r="E253" s="212">
        <f t="shared" si="33"/>
        <v>40.796038715784405</v>
      </c>
      <c r="F253" s="212">
        <f t="shared" si="34"/>
        <v>0.5</v>
      </c>
      <c r="G253" s="212">
        <f>5</f>
        <v>5</v>
      </c>
      <c r="H253" s="212">
        <f t="shared" si="32"/>
        <v>48.356926403545408</v>
      </c>
      <c r="I253" s="212">
        <f t="shared" si="35"/>
        <v>0.9</v>
      </c>
      <c r="J253" s="212">
        <f>1</f>
        <v>1</v>
      </c>
      <c r="K253" s="212">
        <f t="shared" si="36"/>
        <v>4.1870000000000003</v>
      </c>
      <c r="L253" s="212"/>
      <c r="M253" s="212"/>
      <c r="N253" s="212"/>
      <c r="O253" s="212"/>
      <c r="P253" s="212"/>
      <c r="Q253" s="212"/>
      <c r="R253" s="212"/>
      <c r="S253" s="212"/>
      <c r="T253" s="212"/>
      <c r="U253" s="212"/>
      <c r="V253" s="212"/>
      <c r="W253" s="212"/>
      <c r="X253" s="212"/>
      <c r="Y253" s="212"/>
      <c r="Z253" s="212"/>
      <c r="AA253" s="212"/>
      <c r="AB253" s="212"/>
      <c r="AC253" s="196"/>
      <c r="AD253" s="27"/>
      <c r="AE253" s="213"/>
      <c r="AF253" s="212">
        <f t="shared" si="37"/>
        <v>-7.2955759750614746E-4</v>
      </c>
      <c r="AG253" s="212"/>
      <c r="AH253" s="212"/>
      <c r="AI253" s="212"/>
      <c r="AJ253" s="212"/>
      <c r="AK253" s="212"/>
      <c r="AL253" s="212"/>
      <c r="AM253" s="212"/>
      <c r="AN253" s="212"/>
      <c r="AO253" s="212"/>
      <c r="AP253" s="196"/>
      <c r="AQ253" s="196"/>
      <c r="AR253" s="211"/>
      <c r="AS253" s="212">
        <f t="shared" si="29"/>
        <v>-1.9140441818308318E-5</v>
      </c>
      <c r="AT253" s="212">
        <f>[1]!LIM(AT252+Mode*r0*((1+IntegrationStep/2/Ti+Td/IntegrationStep)*AS253-(1-IntegrationStep/2/Ti+2*Td/IntegrationStep)*AS252+Td/IntegrationStep*AS251))</f>
        <v>0.40297438669621172</v>
      </c>
      <c r="AU253" s="212">
        <f t="shared" si="30"/>
        <v>40.794124671602574</v>
      </c>
      <c r="AW253" s="58"/>
      <c r="AX253" s="58"/>
      <c r="AY253" s="58"/>
      <c r="AZ253" s="58"/>
    </row>
    <row r="254" spans="1:52" s="185" customFormat="1" ht="15" customHeight="1" x14ac:dyDescent="0.25">
      <c r="A254" s="200"/>
      <c r="B254" s="211"/>
      <c r="C254" s="212">
        <f t="shared" si="31"/>
        <v>24.300000000000075</v>
      </c>
      <c r="D254" s="231">
        <f>15+[1]!STEPLOAD(5)</f>
        <v>20</v>
      </c>
      <c r="E254" s="212">
        <f t="shared" si="33"/>
        <v>40.795965760024657</v>
      </c>
      <c r="F254" s="212">
        <f t="shared" si="34"/>
        <v>0.5</v>
      </c>
      <c r="G254" s="212">
        <f>5</f>
        <v>5</v>
      </c>
      <c r="H254" s="212">
        <f t="shared" si="32"/>
        <v>48.357394702384994</v>
      </c>
      <c r="I254" s="212">
        <f t="shared" si="35"/>
        <v>0.9</v>
      </c>
      <c r="J254" s="212">
        <f>1</f>
        <v>1</v>
      </c>
      <c r="K254" s="212">
        <f t="shared" si="36"/>
        <v>4.1870000000000003</v>
      </c>
      <c r="L254" s="212"/>
      <c r="M254" s="212"/>
      <c r="N254" s="212"/>
      <c r="O254" s="212"/>
      <c r="P254" s="212"/>
      <c r="Q254" s="212"/>
      <c r="R254" s="212"/>
      <c r="S254" s="212"/>
      <c r="T254" s="212"/>
      <c r="U254" s="212"/>
      <c r="V254" s="212"/>
      <c r="W254" s="212"/>
      <c r="X254" s="212"/>
      <c r="Y254" s="212"/>
      <c r="Z254" s="212"/>
      <c r="AA254" s="212"/>
      <c r="AB254" s="212"/>
      <c r="AC254" s="196"/>
      <c r="AD254" s="27"/>
      <c r="AE254" s="213"/>
      <c r="AF254" s="212">
        <f t="shared" si="37"/>
        <v>-7.0212975711125836E-4</v>
      </c>
      <c r="AG254" s="212"/>
      <c r="AH254" s="212"/>
      <c r="AI254" s="212"/>
      <c r="AJ254" s="212"/>
      <c r="AK254" s="212"/>
      <c r="AL254" s="212"/>
      <c r="AM254" s="212"/>
      <c r="AN254" s="212"/>
      <c r="AO254" s="212"/>
      <c r="AP254" s="196"/>
      <c r="AQ254" s="196"/>
      <c r="AR254" s="211"/>
      <c r="AS254" s="212">
        <f t="shared" si="29"/>
        <v>-1.8410884220827483E-5</v>
      </c>
      <c r="AT254" s="212">
        <f>[1]!LIM(AT253+Mode*r0*((1+IntegrationStep/2/Ti+Td/IntegrationStep)*AS254-(1-IntegrationStep/2/Ti+2*Td/IntegrationStep)*AS253+Td/IntegrationStep*AS252))</f>
        <v>0.40297828918654161</v>
      </c>
      <c r="AU254" s="212">
        <f t="shared" si="30"/>
        <v>40.794124671602574</v>
      </c>
      <c r="AW254" s="58"/>
      <c r="AX254" s="58"/>
      <c r="AY254" s="58"/>
      <c r="AZ254" s="58"/>
    </row>
    <row r="255" spans="1:52" s="185" customFormat="1" ht="15" customHeight="1" x14ac:dyDescent="0.25">
      <c r="A255" s="200"/>
      <c r="B255" s="211"/>
      <c r="C255" s="212">
        <f t="shared" si="31"/>
        <v>24.400000000000077</v>
      </c>
      <c r="D255" s="231">
        <f>15+[1]!STEPLOAD(5)</f>
        <v>20</v>
      </c>
      <c r="E255" s="212">
        <f t="shared" si="33"/>
        <v>40.795895547048943</v>
      </c>
      <c r="F255" s="212">
        <f t="shared" si="34"/>
        <v>0.5</v>
      </c>
      <c r="G255" s="212">
        <f>5</f>
        <v>5</v>
      </c>
      <c r="H255" s="212">
        <f t="shared" si="32"/>
        <v>48.357845844077453</v>
      </c>
      <c r="I255" s="212">
        <f t="shared" si="35"/>
        <v>0.9</v>
      </c>
      <c r="J255" s="212">
        <f>1</f>
        <v>1</v>
      </c>
      <c r="K255" s="212">
        <f t="shared" si="36"/>
        <v>4.1870000000000003</v>
      </c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2"/>
      <c r="W255" s="212"/>
      <c r="X255" s="212"/>
      <c r="Y255" s="212"/>
      <c r="Z255" s="212"/>
      <c r="AA255" s="212"/>
      <c r="AB255" s="212"/>
      <c r="AC255" s="196"/>
      <c r="AD255" s="27"/>
      <c r="AE255" s="213"/>
      <c r="AF255" s="212">
        <f t="shared" si="37"/>
        <v>-6.7571378444020169E-4</v>
      </c>
      <c r="AG255" s="212"/>
      <c r="AH255" s="212"/>
      <c r="AI255" s="212"/>
      <c r="AJ255" s="212"/>
      <c r="AK255" s="212"/>
      <c r="AL255" s="212"/>
      <c r="AM255" s="212"/>
      <c r="AN255" s="212"/>
      <c r="AO255" s="212"/>
      <c r="AP255" s="196"/>
      <c r="AQ255" s="196"/>
      <c r="AR255" s="211"/>
      <c r="AS255" s="212">
        <f t="shared" si="29"/>
        <v>-1.7708754463683362E-5</v>
      </c>
      <c r="AT255" s="212">
        <f>[1]!LIM(AT254+Mode*r0*((1+IntegrationStep/2/Ti+Td/IntegrationStep)*AS255-(1-IntegrationStep/2/Ti+2*Td/IntegrationStep)*AS254+Td/IntegrationStep*AS253))</f>
        <v>0.40298204870064541</v>
      </c>
      <c r="AU255" s="212">
        <f t="shared" si="30"/>
        <v>40.794124671602574</v>
      </c>
      <c r="AW255" s="58"/>
      <c r="AX255" s="58"/>
      <c r="AY255" s="58"/>
      <c r="AZ255" s="58"/>
    </row>
    <row r="256" spans="1:52" s="185" customFormat="1" ht="15" customHeight="1" x14ac:dyDescent="0.25">
      <c r="A256" s="200"/>
      <c r="B256" s="211"/>
      <c r="C256" s="212">
        <f t="shared" si="31"/>
        <v>24.500000000000078</v>
      </c>
      <c r="D256" s="231">
        <f>15+[1]!STEPLOAD(5)</f>
        <v>20</v>
      </c>
      <c r="E256" s="212">
        <f t="shared" si="33"/>
        <v>40.795827975670498</v>
      </c>
      <c r="F256" s="212">
        <f t="shared" si="34"/>
        <v>0.5</v>
      </c>
      <c r="G256" s="212">
        <f>5</f>
        <v>5</v>
      </c>
      <c r="H256" s="212">
        <f t="shared" si="32"/>
        <v>48.358280438498738</v>
      </c>
      <c r="I256" s="212">
        <f t="shared" si="35"/>
        <v>0.9</v>
      </c>
      <c r="J256" s="212">
        <f>1</f>
        <v>1</v>
      </c>
      <c r="K256" s="212">
        <f t="shared" si="36"/>
        <v>4.1870000000000003</v>
      </c>
      <c r="L256" s="212"/>
      <c r="M256" s="212"/>
      <c r="N256" s="212"/>
      <c r="O256" s="212"/>
      <c r="P256" s="212"/>
      <c r="Q256" s="212"/>
      <c r="R256" s="212"/>
      <c r="S256" s="212"/>
      <c r="T256" s="212"/>
      <c r="U256" s="212"/>
      <c r="V256" s="212"/>
      <c r="W256" s="212"/>
      <c r="X256" s="212"/>
      <c r="Y256" s="212"/>
      <c r="Z256" s="212"/>
      <c r="AA256" s="212"/>
      <c r="AB256" s="212"/>
      <c r="AC256" s="196"/>
      <c r="AD256" s="27"/>
      <c r="AE256" s="213"/>
      <c r="AF256" s="212">
        <f t="shared" si="37"/>
        <v>-6.5027334212208743E-4</v>
      </c>
      <c r="AG256" s="212"/>
      <c r="AH256" s="212"/>
      <c r="AI256" s="212"/>
      <c r="AJ256" s="212"/>
      <c r="AK256" s="212"/>
      <c r="AL256" s="212"/>
      <c r="AM256" s="212"/>
      <c r="AN256" s="212"/>
      <c r="AO256" s="212"/>
      <c r="AP256" s="196"/>
      <c r="AQ256" s="196"/>
      <c r="AR256" s="211"/>
      <c r="AS256" s="212">
        <f t="shared" si="29"/>
        <v>-1.7033040679237388E-5</v>
      </c>
      <c r="AT256" s="212">
        <f>[1]!LIM(AT255+Mode*r0*((1+IntegrationStep/2/Ti+Td/IntegrationStep)*AS256-(1-IntegrationStep/2/Ti+2*Td/IntegrationStep)*AS255+Td/IntegrationStep*AS254))</f>
        <v>0.40298567032082283</v>
      </c>
      <c r="AU256" s="212">
        <f t="shared" si="30"/>
        <v>40.794124671602574</v>
      </c>
      <c r="AW256" s="58"/>
      <c r="AX256" s="58"/>
      <c r="AY256" s="58"/>
      <c r="AZ256" s="58"/>
    </row>
    <row r="257" spans="1:52" s="185" customFormat="1" ht="15" customHeight="1" x14ac:dyDescent="0.25">
      <c r="A257" s="200"/>
      <c r="B257" s="211"/>
      <c r="C257" s="212">
        <f t="shared" si="31"/>
        <v>24.60000000000008</v>
      </c>
      <c r="D257" s="231">
        <f>15+[1]!STEPLOAD(5)</f>
        <v>20</v>
      </c>
      <c r="E257" s="212">
        <f t="shared" si="33"/>
        <v>40.795762948336289</v>
      </c>
      <c r="F257" s="212">
        <f t="shared" si="34"/>
        <v>0.5</v>
      </c>
      <c r="G257" s="212">
        <f>5</f>
        <v>5</v>
      </c>
      <c r="H257" s="212">
        <f t="shared" si="32"/>
        <v>48.358699074834128</v>
      </c>
      <c r="I257" s="212">
        <f t="shared" si="35"/>
        <v>0.9</v>
      </c>
      <c r="J257" s="212">
        <f>1</f>
        <v>1</v>
      </c>
      <c r="K257" s="212">
        <f t="shared" si="36"/>
        <v>4.1870000000000003</v>
      </c>
      <c r="L257" s="212"/>
      <c r="M257" s="212"/>
      <c r="N257" s="212"/>
      <c r="O257" s="212"/>
      <c r="P257" s="212"/>
      <c r="Q257" s="212"/>
      <c r="R257" s="212"/>
      <c r="S257" s="212"/>
      <c r="T257" s="212"/>
      <c r="U257" s="212"/>
      <c r="V257" s="212"/>
      <c r="W257" s="212"/>
      <c r="X257" s="212"/>
      <c r="Y257" s="212"/>
      <c r="Z257" s="212"/>
      <c r="AA257" s="212"/>
      <c r="AB257" s="212"/>
      <c r="AC257" s="196"/>
      <c r="AD257" s="27"/>
      <c r="AE257" s="213"/>
      <c r="AF257" s="212">
        <f t="shared" si="37"/>
        <v>-6.2577334565583342E-4</v>
      </c>
      <c r="AG257" s="212"/>
      <c r="AH257" s="212"/>
      <c r="AI257" s="212"/>
      <c r="AJ257" s="212"/>
      <c r="AK257" s="212"/>
      <c r="AL257" s="212"/>
      <c r="AM257" s="212"/>
      <c r="AN257" s="212"/>
      <c r="AO257" s="212"/>
      <c r="AP257" s="196"/>
      <c r="AQ257" s="196"/>
      <c r="AR257" s="211"/>
      <c r="AS257" s="212">
        <f t="shared" si="29"/>
        <v>-1.6382767337148608E-5</v>
      </c>
      <c r="AT257" s="212">
        <f>[1]!LIM(AT256+Mode*r0*((1+IntegrationStep/2/Ti+Td/IntegrationStep)*AS257-(1-IntegrationStep/2/Ti+2*Td/IntegrationStep)*AS256+Td/IntegrationStep*AS255))</f>
        <v>0.40298915895695109</v>
      </c>
      <c r="AU257" s="212">
        <f t="shared" si="30"/>
        <v>40.794124671602574</v>
      </c>
      <c r="AW257" s="58"/>
      <c r="AX257" s="58"/>
      <c r="AY257" s="58"/>
      <c r="AZ257" s="58"/>
    </row>
    <row r="258" spans="1:52" s="185" customFormat="1" ht="15" customHeight="1" x14ac:dyDescent="0.25">
      <c r="A258" s="200"/>
      <c r="B258" s="211"/>
      <c r="C258" s="212">
        <f t="shared" si="31"/>
        <v>24.700000000000081</v>
      </c>
      <c r="D258" s="231">
        <f>15+[1]!STEPLOAD(5)</f>
        <v>20</v>
      </c>
      <c r="E258" s="212">
        <f t="shared" si="33"/>
        <v>40.795700371001722</v>
      </c>
      <c r="F258" s="212">
        <f t="shared" si="34"/>
        <v>0.5</v>
      </c>
      <c r="G258" s="212">
        <f>5</f>
        <v>5</v>
      </c>
      <c r="H258" s="212">
        <f t="shared" si="32"/>
        <v>48.359102322226448</v>
      </c>
      <c r="I258" s="212">
        <f t="shared" si="35"/>
        <v>0.9</v>
      </c>
      <c r="J258" s="212">
        <f>1</f>
        <v>1</v>
      </c>
      <c r="K258" s="212">
        <f t="shared" si="36"/>
        <v>4.1870000000000003</v>
      </c>
      <c r="L258" s="212"/>
      <c r="M258" s="212"/>
      <c r="N258" s="212"/>
      <c r="O258" s="212"/>
      <c r="P258" s="212"/>
      <c r="Q258" s="212"/>
      <c r="R258" s="212"/>
      <c r="S258" s="212"/>
      <c r="T258" s="212"/>
      <c r="U258" s="212"/>
      <c r="V258" s="212"/>
      <c r="W258" s="212"/>
      <c r="X258" s="212"/>
      <c r="Y258" s="212"/>
      <c r="Z258" s="212"/>
      <c r="AA258" s="212"/>
      <c r="AB258" s="212"/>
      <c r="AC258" s="196"/>
      <c r="AD258" s="27"/>
      <c r="AE258" s="213"/>
      <c r="AF258" s="212">
        <f t="shared" si="37"/>
        <v>-6.0217992301447865E-4</v>
      </c>
      <c r="AG258" s="212"/>
      <c r="AH258" s="212"/>
      <c r="AI258" s="212"/>
      <c r="AJ258" s="212"/>
      <c r="AK258" s="212"/>
      <c r="AL258" s="212"/>
      <c r="AM258" s="212"/>
      <c r="AN258" s="212"/>
      <c r="AO258" s="212"/>
      <c r="AP258" s="196"/>
      <c r="AQ258" s="196"/>
      <c r="AR258" s="211"/>
      <c r="AS258" s="212">
        <f t="shared" si="29"/>
        <v>-1.5756993991473677E-5</v>
      </c>
      <c r="AT258" s="212">
        <f>[1]!LIM(AT257+Mode*r0*((1+IntegrationStep/2/Ti+Td/IntegrationStep)*AS258-(1-IntegrationStep/2/Ti+2*Td/IntegrationStep)*AS257+Td/IntegrationStep*AS256))</f>
        <v>0.40299251935188707</v>
      </c>
      <c r="AU258" s="212">
        <f t="shared" si="30"/>
        <v>40.794124671602574</v>
      </c>
      <c r="AW258" s="58"/>
      <c r="AX258" s="58"/>
      <c r="AY258" s="58"/>
      <c r="AZ258" s="58"/>
    </row>
    <row r="259" spans="1:52" s="185" customFormat="1" ht="15" customHeight="1" x14ac:dyDescent="0.25">
      <c r="A259" s="200"/>
      <c r="B259" s="211"/>
      <c r="C259" s="212">
        <f t="shared" si="31"/>
        <v>24.800000000000082</v>
      </c>
      <c r="D259" s="231">
        <f>15+[1]!STEPLOAD(5)</f>
        <v>20</v>
      </c>
      <c r="E259" s="212">
        <f t="shared" si="33"/>
        <v>40.795640153009423</v>
      </c>
      <c r="F259" s="212">
        <f t="shared" si="34"/>
        <v>0.5</v>
      </c>
      <c r="G259" s="212">
        <f>5</f>
        <v>5</v>
      </c>
      <c r="H259" s="212">
        <f t="shared" si="32"/>
        <v>48.359490730406485</v>
      </c>
      <c r="I259" s="212">
        <f t="shared" si="35"/>
        <v>0.9</v>
      </c>
      <c r="J259" s="212">
        <f>1</f>
        <v>1</v>
      </c>
      <c r="K259" s="212">
        <f t="shared" si="36"/>
        <v>4.1870000000000003</v>
      </c>
      <c r="L259" s="212"/>
      <c r="M259" s="212"/>
      <c r="N259" s="212"/>
      <c r="O259" s="212"/>
      <c r="P259" s="212"/>
      <c r="Q259" s="212"/>
      <c r="R259" s="212"/>
      <c r="S259" s="212"/>
      <c r="T259" s="212"/>
      <c r="U259" s="212"/>
      <c r="V259" s="212"/>
      <c r="W259" s="212"/>
      <c r="X259" s="212"/>
      <c r="Y259" s="212"/>
      <c r="Z259" s="212"/>
      <c r="AA259" s="212"/>
      <c r="AB259" s="212"/>
      <c r="AC259" s="196"/>
      <c r="AD259" s="27"/>
      <c r="AE259" s="213"/>
      <c r="AF259" s="212">
        <f t="shared" si="37"/>
        <v>-5.7946037541878326E-4</v>
      </c>
      <c r="AG259" s="212"/>
      <c r="AH259" s="212"/>
      <c r="AI259" s="212"/>
      <c r="AJ259" s="212"/>
      <c r="AK259" s="212"/>
      <c r="AL259" s="212"/>
      <c r="AM259" s="212"/>
      <c r="AN259" s="212"/>
      <c r="AO259" s="212"/>
      <c r="AP259" s="196"/>
      <c r="AQ259" s="196"/>
      <c r="AR259" s="211"/>
      <c r="AS259" s="212">
        <f t="shared" si="29"/>
        <v>-1.515481406848096E-5</v>
      </c>
      <c r="AT259" s="212">
        <f>[1]!LIM(AT258+Mode*r0*((1+IntegrationStep/2/Ti+Td/IntegrationStep)*AS259-(1-IntegrationStep/2/Ti+2*Td/IntegrationStep)*AS258+Td/IntegrationStep*AS257))</f>
        <v>0.40299575608672072</v>
      </c>
      <c r="AU259" s="212">
        <f t="shared" si="30"/>
        <v>40.794124671602574</v>
      </c>
      <c r="AW259" s="58"/>
      <c r="AX259" s="58"/>
      <c r="AY259" s="58"/>
      <c r="AZ259" s="58"/>
    </row>
    <row r="260" spans="1:52" s="185" customFormat="1" ht="15" customHeight="1" x14ac:dyDescent="0.25">
      <c r="A260" s="200"/>
      <c r="B260" s="211"/>
      <c r="C260" s="212">
        <f t="shared" si="31"/>
        <v>24.900000000000084</v>
      </c>
      <c r="D260" s="231">
        <f>15+[1]!STEPLOAD(5)</f>
        <v>20</v>
      </c>
      <c r="E260" s="212">
        <f t="shared" si="33"/>
        <v>40.795582206971879</v>
      </c>
      <c r="F260" s="212">
        <f t="shared" si="34"/>
        <v>0.5</v>
      </c>
      <c r="G260" s="212">
        <f>5</f>
        <v>5</v>
      </c>
      <c r="H260" s="212">
        <f t="shared" si="32"/>
        <v>48.359864830307629</v>
      </c>
      <c r="I260" s="212">
        <f t="shared" si="35"/>
        <v>0.9</v>
      </c>
      <c r="J260" s="212">
        <f>1</f>
        <v>1</v>
      </c>
      <c r="K260" s="212">
        <f t="shared" si="36"/>
        <v>4.1870000000000003</v>
      </c>
      <c r="L260" s="212"/>
      <c r="M260" s="212"/>
      <c r="N260" s="212"/>
      <c r="O260" s="212"/>
      <c r="P260" s="212"/>
      <c r="Q260" s="212"/>
      <c r="R260" s="212"/>
      <c r="S260" s="212"/>
      <c r="T260" s="212"/>
      <c r="U260" s="212"/>
      <c r="V260" s="212"/>
      <c r="W260" s="212"/>
      <c r="X260" s="212"/>
      <c r="Y260" s="212"/>
      <c r="Z260" s="212"/>
      <c r="AA260" s="212"/>
      <c r="AB260" s="212"/>
      <c r="AC260" s="196"/>
      <c r="AD260" s="27"/>
      <c r="AE260" s="213"/>
      <c r="AF260" s="212">
        <f t="shared" si="37"/>
        <v>-5.575831391815278E-4</v>
      </c>
      <c r="AG260" s="212"/>
      <c r="AH260" s="212"/>
      <c r="AI260" s="212"/>
      <c r="AJ260" s="212"/>
      <c r="AK260" s="212"/>
      <c r="AL260" s="212"/>
      <c r="AM260" s="212"/>
      <c r="AN260" s="212"/>
      <c r="AO260" s="212"/>
      <c r="AP260" s="196"/>
      <c r="AQ260" s="196"/>
      <c r="AR260" s="211"/>
      <c r="AS260" s="212">
        <f t="shared" si="29"/>
        <v>-1.4575353693047078E-5</v>
      </c>
      <c r="AT260" s="212">
        <f>[1]!LIM(AT259+Mode*r0*((1+IntegrationStep/2/Ti+Td/IntegrationStep)*AS260-(1-IntegrationStep/2/Ti+2*Td/IntegrationStep)*AS259+Td/IntegrationStep*AS258))</f>
        <v>0.40299887358589692</v>
      </c>
      <c r="AU260" s="212">
        <f t="shared" si="30"/>
        <v>40.794124671602574</v>
      </c>
      <c r="AW260" s="58"/>
      <c r="AX260" s="58"/>
      <c r="AY260" s="58"/>
      <c r="AZ260" s="58"/>
    </row>
    <row r="261" spans="1:52" s="185" customFormat="1" ht="15" customHeight="1" x14ac:dyDescent="0.25">
      <c r="A261" s="200"/>
      <c r="B261" s="211"/>
      <c r="C261" s="212">
        <f t="shared" si="31"/>
        <v>25.000000000000085</v>
      </c>
      <c r="D261" s="231">
        <f>15+[1]!STEPLOAD(5)</f>
        <v>20</v>
      </c>
      <c r="E261" s="212">
        <f t="shared" si="33"/>
        <v>40.795526448657959</v>
      </c>
      <c r="F261" s="212">
        <f t="shared" si="34"/>
        <v>0.5</v>
      </c>
      <c r="G261" s="212">
        <f>5</f>
        <v>5</v>
      </c>
      <c r="H261" s="212">
        <f t="shared" si="32"/>
        <v>48.360225134662628</v>
      </c>
      <c r="I261" s="212">
        <f t="shared" si="35"/>
        <v>0.9</v>
      </c>
      <c r="J261" s="212">
        <f>1</f>
        <v>1</v>
      </c>
      <c r="K261" s="212">
        <f t="shared" si="36"/>
        <v>4.1870000000000003</v>
      </c>
      <c r="L261" s="212"/>
      <c r="M261" s="212"/>
      <c r="N261" s="212"/>
      <c r="O261" s="212"/>
      <c r="P261" s="212"/>
      <c r="Q261" s="212"/>
      <c r="R261" s="212"/>
      <c r="S261" s="212"/>
      <c r="T261" s="212"/>
      <c r="U261" s="212"/>
      <c r="V261" s="212"/>
      <c r="W261" s="212"/>
      <c r="X261" s="212"/>
      <c r="Y261" s="212"/>
      <c r="Z261" s="212"/>
      <c r="AA261" s="212"/>
      <c r="AB261" s="212"/>
      <c r="AC261" s="196"/>
      <c r="AD261" s="27"/>
      <c r="AE261" s="213"/>
      <c r="AF261" s="212">
        <f t="shared" si="37"/>
        <v>-5.3651774870200342E-4</v>
      </c>
      <c r="AG261" s="212"/>
      <c r="AH261" s="212"/>
      <c r="AI261" s="212"/>
      <c r="AJ261" s="212"/>
      <c r="AK261" s="212"/>
      <c r="AL261" s="212"/>
      <c r="AM261" s="212"/>
      <c r="AN261" s="212"/>
      <c r="AO261" s="212"/>
      <c r="AP261" s="196"/>
      <c r="AQ261" s="196"/>
      <c r="AR261" s="211"/>
      <c r="AS261" s="212">
        <f t="shared" si="29"/>
        <v>-1.4017770553849118E-5</v>
      </c>
      <c r="AT261" s="212">
        <f>[1]!LIM(AT260+Mode*r0*((1+IntegrationStep/2/Ti+Td/IntegrationStep)*AS261-(1-IntegrationStep/2/Ti+2*Td/IntegrationStep)*AS260+Td/IntegrationStep*AS259))</f>
        <v>0.40300187612218857</v>
      </c>
      <c r="AU261" s="212">
        <f t="shared" si="30"/>
        <v>40.794124671602574</v>
      </c>
      <c r="AW261" s="58"/>
      <c r="AX261" s="58"/>
      <c r="AY261" s="58"/>
      <c r="AZ261" s="58"/>
    </row>
    <row r="262" spans="1:52" s="185" customFormat="1" ht="15" customHeight="1" x14ac:dyDescent="0.25">
      <c r="A262" s="200"/>
      <c r="B262" s="211"/>
      <c r="C262" s="212">
        <f t="shared" si="31"/>
        <v>25.100000000000087</v>
      </c>
      <c r="D262" s="231">
        <f>15+[1]!STEPLOAD(5)</f>
        <v>20</v>
      </c>
      <c r="E262" s="212">
        <f t="shared" si="33"/>
        <v>40.795472796883089</v>
      </c>
      <c r="F262" s="212">
        <f t="shared" si="34"/>
        <v>0.5</v>
      </c>
      <c r="G262" s="212">
        <f>5</f>
        <v>5</v>
      </c>
      <c r="H262" s="212">
        <f t="shared" si="32"/>
        <v>48.360572138584715</v>
      </c>
      <c r="I262" s="212">
        <f t="shared" si="35"/>
        <v>0.9</v>
      </c>
      <c r="J262" s="212">
        <f>1</f>
        <v>1</v>
      </c>
      <c r="K262" s="212">
        <f t="shared" si="36"/>
        <v>4.1870000000000003</v>
      </c>
      <c r="L262" s="212"/>
      <c r="M262" s="212"/>
      <c r="N262" s="212"/>
      <c r="O262" s="212"/>
      <c r="P262" s="212"/>
      <c r="Q262" s="212"/>
      <c r="R262" s="212"/>
      <c r="S262" s="212"/>
      <c r="T262" s="212"/>
      <c r="U262" s="212"/>
      <c r="V262" s="212"/>
      <c r="W262" s="212"/>
      <c r="X262" s="212"/>
      <c r="Y262" s="212"/>
      <c r="Z262" s="212"/>
      <c r="AA262" s="212"/>
      <c r="AB262" s="212"/>
      <c r="AC262" s="196"/>
      <c r="AD262" s="27"/>
      <c r="AE262" s="213"/>
      <c r="AF262" s="212">
        <f t="shared" si="37"/>
        <v>-5.162348005018913E-4</v>
      </c>
      <c r="AG262" s="212"/>
      <c r="AH262" s="212"/>
      <c r="AI262" s="212"/>
      <c r="AJ262" s="212"/>
      <c r="AK262" s="212"/>
      <c r="AL262" s="212"/>
      <c r="AM262" s="212"/>
      <c r="AN262" s="212"/>
      <c r="AO262" s="212"/>
      <c r="AP262" s="196"/>
      <c r="AQ262" s="196"/>
      <c r="AR262" s="211"/>
      <c r="AS262" s="212">
        <f t="shared" si="29"/>
        <v>-1.348125280514978E-5</v>
      </c>
      <c r="AT262" s="212">
        <f>[1]!LIM(AT261+Mode*r0*((1+IntegrationStep/2/Ti+Td/IntegrationStep)*AS262-(1-IntegrationStep/2/Ti+2*Td/IntegrationStep)*AS261+Td/IntegrationStep*AS260))</f>
        <v>0.40300476782153927</v>
      </c>
      <c r="AU262" s="212">
        <f t="shared" si="30"/>
        <v>40.794124671602574</v>
      </c>
      <c r="AW262" s="58"/>
      <c r="AX262" s="58"/>
      <c r="AY262" s="58"/>
      <c r="AZ262" s="58"/>
    </row>
    <row r="263" spans="1:52" s="185" customFormat="1" ht="15" customHeight="1" x14ac:dyDescent="0.25">
      <c r="A263" s="200"/>
      <c r="B263" s="211"/>
      <c r="C263" s="212">
        <f t="shared" si="31"/>
        <v>25.200000000000088</v>
      </c>
      <c r="D263" s="231">
        <f>15+[1]!STEPLOAD(5)</f>
        <v>20</v>
      </c>
      <c r="E263" s="212">
        <f t="shared" si="33"/>
        <v>40.795421173403042</v>
      </c>
      <c r="F263" s="212">
        <f t="shared" si="34"/>
        <v>0.5</v>
      </c>
      <c r="G263" s="212">
        <f>5</f>
        <v>5</v>
      </c>
      <c r="H263" s="212">
        <f t="shared" si="32"/>
        <v>48.360906320132337</v>
      </c>
      <c r="I263" s="212">
        <f t="shared" si="35"/>
        <v>0.9</v>
      </c>
      <c r="J263" s="212">
        <f>1</f>
        <v>1</v>
      </c>
      <c r="K263" s="212">
        <f t="shared" si="36"/>
        <v>4.1870000000000003</v>
      </c>
      <c r="L263" s="212"/>
      <c r="M263" s="212"/>
      <c r="N263" s="212"/>
      <c r="O263" s="212"/>
      <c r="P263" s="212"/>
      <c r="Q263" s="212"/>
      <c r="R263" s="212"/>
      <c r="S263" s="212"/>
      <c r="T263" s="212"/>
      <c r="U263" s="212"/>
      <c r="V263" s="212"/>
      <c r="W263" s="212"/>
      <c r="X263" s="212"/>
      <c r="Y263" s="212"/>
      <c r="Z263" s="212"/>
      <c r="AA263" s="212"/>
      <c r="AB263" s="212"/>
      <c r="AC263" s="196"/>
      <c r="AD263" s="27"/>
      <c r="AE263" s="213"/>
      <c r="AF263" s="212">
        <f t="shared" si="37"/>
        <v>-4.9670591832651212E-4</v>
      </c>
      <c r="AG263" s="212"/>
      <c r="AH263" s="212"/>
      <c r="AI263" s="212"/>
      <c r="AJ263" s="212"/>
      <c r="AK263" s="212"/>
      <c r="AL263" s="212"/>
      <c r="AM263" s="212"/>
      <c r="AN263" s="212"/>
      <c r="AO263" s="212"/>
      <c r="AP263" s="196"/>
      <c r="AQ263" s="196"/>
      <c r="AR263" s="211"/>
      <c r="AS263" s="212">
        <f t="shared" si="29"/>
        <v>-1.2965018004678086E-5</v>
      </c>
      <c r="AT263" s="212">
        <f>[1]!LIM(AT262+Mode*r0*((1+IntegrationStep/2/Ti+Td/IntegrationStep)*AS263-(1-IntegrationStep/2/Ti+2*Td/IntegrationStep)*AS262+Td/IntegrationStep*AS261))</f>
        <v>0.4030075526677695</v>
      </c>
      <c r="AU263" s="212">
        <f t="shared" si="30"/>
        <v>40.794124671602574</v>
      </c>
      <c r="AW263" s="58"/>
      <c r="AX263" s="58"/>
      <c r="AY263" s="58"/>
      <c r="AZ263" s="58"/>
    </row>
    <row r="264" spans="1:52" s="185" customFormat="1" ht="15" customHeight="1" x14ac:dyDescent="0.25">
      <c r="A264" s="200"/>
      <c r="B264" s="211"/>
      <c r="C264" s="212">
        <f t="shared" si="31"/>
        <v>25.30000000000009</v>
      </c>
      <c r="D264" s="231">
        <f>15+[1]!STEPLOAD(5)</f>
        <v>20</v>
      </c>
      <c r="E264" s="212">
        <f t="shared" si="33"/>
        <v>40.795371502811207</v>
      </c>
      <c r="F264" s="212">
        <f t="shared" si="34"/>
        <v>0.5</v>
      </c>
      <c r="G264" s="212">
        <f>5</f>
        <v>5</v>
      </c>
      <c r="H264" s="212">
        <f t="shared" si="32"/>
        <v>48.36122814085833</v>
      </c>
      <c r="I264" s="212">
        <f t="shared" si="35"/>
        <v>0.9</v>
      </c>
      <c r="J264" s="212">
        <f>1</f>
        <v>1</v>
      </c>
      <c r="K264" s="212">
        <f t="shared" si="36"/>
        <v>4.1870000000000003</v>
      </c>
      <c r="L264" s="212"/>
      <c r="M264" s="212"/>
      <c r="N264" s="212"/>
      <c r="O264" s="212"/>
      <c r="P264" s="212"/>
      <c r="Q264" s="212"/>
      <c r="R264" s="212"/>
      <c r="S264" s="212"/>
      <c r="T264" s="212"/>
      <c r="U264" s="212"/>
      <c r="V264" s="212"/>
      <c r="W264" s="212"/>
      <c r="X264" s="212"/>
      <c r="Y264" s="212"/>
      <c r="Z264" s="212"/>
      <c r="AA264" s="212"/>
      <c r="AB264" s="212"/>
      <c r="AC264" s="196"/>
      <c r="AD264" s="27"/>
      <c r="AE264" s="213"/>
      <c r="AF264" s="212">
        <f t="shared" si="37"/>
        <v>-4.7790371926303976E-4</v>
      </c>
      <c r="AG264" s="212"/>
      <c r="AH264" s="212"/>
      <c r="AI264" s="212"/>
      <c r="AJ264" s="212"/>
      <c r="AK264" s="212"/>
      <c r="AL264" s="212"/>
      <c r="AM264" s="212"/>
      <c r="AN264" s="212"/>
      <c r="AO264" s="212"/>
      <c r="AP264" s="196"/>
      <c r="AQ264" s="196"/>
      <c r="AR264" s="211"/>
      <c r="AS264" s="212">
        <f t="shared" si="29"/>
        <v>-1.2468312086326705E-5</v>
      </c>
      <c r="AT264" s="212">
        <f>[1]!LIM(AT263+Mode*r0*((1+IntegrationStep/2/Ti+Td/IntegrationStep)*AS264-(1-IntegrationStep/2/Ti+2*Td/IntegrationStep)*AS263+Td/IntegrationStep*AS262))</f>
        <v>0.40301023450715273</v>
      </c>
      <c r="AU264" s="212">
        <f t="shared" si="30"/>
        <v>40.794124671602574</v>
      </c>
      <c r="AW264" s="58"/>
      <c r="AX264" s="58"/>
      <c r="AY264" s="58"/>
      <c r="AZ264" s="58"/>
    </row>
    <row r="265" spans="1:52" s="185" customFormat="1" ht="15" customHeight="1" x14ac:dyDescent="0.25">
      <c r="A265" s="200"/>
      <c r="B265" s="211"/>
      <c r="C265" s="212">
        <f t="shared" si="31"/>
        <v>25.400000000000091</v>
      </c>
      <c r="D265" s="231">
        <f>15+[1]!STEPLOAD(5)</f>
        <v>20</v>
      </c>
      <c r="E265" s="212">
        <f t="shared" si="33"/>
        <v>40.795323712439284</v>
      </c>
      <c r="F265" s="212">
        <f t="shared" si="34"/>
        <v>0.5</v>
      </c>
      <c r="G265" s="212">
        <f>5</f>
        <v>5</v>
      </c>
      <c r="H265" s="212">
        <f t="shared" si="32"/>
        <v>48.361538046342737</v>
      </c>
      <c r="I265" s="212">
        <f t="shared" si="35"/>
        <v>0.9</v>
      </c>
      <c r="J265" s="212">
        <f>1</f>
        <v>1</v>
      </c>
      <c r="K265" s="212">
        <f t="shared" si="36"/>
        <v>4.1870000000000003</v>
      </c>
      <c r="L265" s="212"/>
      <c r="M265" s="212"/>
      <c r="N265" s="212"/>
      <c r="O265" s="212"/>
      <c r="P265" s="212"/>
      <c r="Q265" s="212"/>
      <c r="R265" s="212"/>
      <c r="S265" s="212"/>
      <c r="T265" s="212"/>
      <c r="U265" s="212"/>
      <c r="V265" s="212"/>
      <c r="W265" s="212"/>
      <c r="X265" s="212"/>
      <c r="Y265" s="212"/>
      <c r="Z265" s="212"/>
      <c r="AA265" s="212"/>
      <c r="AB265" s="212"/>
      <c r="AC265" s="196"/>
      <c r="AD265" s="27"/>
      <c r="AE265" s="213"/>
      <c r="AF265" s="212">
        <f t="shared" si="37"/>
        <v>-4.5980178090143653E-4</v>
      </c>
      <c r="AG265" s="212"/>
      <c r="AH265" s="212"/>
      <c r="AI265" s="212"/>
      <c r="AJ265" s="212"/>
      <c r="AK265" s="212"/>
      <c r="AL265" s="212"/>
      <c r="AM265" s="212"/>
      <c r="AN265" s="212"/>
      <c r="AO265" s="212"/>
      <c r="AP265" s="196"/>
      <c r="AQ265" s="196"/>
      <c r="AR265" s="211"/>
      <c r="AS265" s="212">
        <f t="shared" si="29"/>
        <v>-1.1990408367097416E-5</v>
      </c>
      <c r="AT265" s="212">
        <f>[1]!LIM(AT264+Mode*r0*((1+IntegrationStep/2/Ti+Td/IntegrationStep)*AS265-(1-IntegrationStep/2/Ti+2*Td/IntegrationStep)*AS264+Td/IntegrationStep*AS263))</f>
        <v>0.40301281705285613</v>
      </c>
      <c r="AU265" s="212">
        <f t="shared" si="30"/>
        <v>40.794124671602574</v>
      </c>
      <c r="AW265" s="58"/>
      <c r="AX265" s="58"/>
      <c r="AY265" s="58"/>
      <c r="AZ265" s="58"/>
    </row>
    <row r="266" spans="1:52" s="185" customFormat="1" ht="15" customHeight="1" x14ac:dyDescent="0.25">
      <c r="A266" s="200"/>
      <c r="B266" s="211"/>
      <c r="C266" s="212">
        <f t="shared" si="31"/>
        <v>25.500000000000092</v>
      </c>
      <c r="D266" s="231">
        <f>15+[1]!STEPLOAD(5)</f>
        <v>20</v>
      </c>
      <c r="E266" s="212">
        <f t="shared" si="33"/>
        <v>40.795277732261191</v>
      </c>
      <c r="F266" s="212">
        <f t="shared" si="34"/>
        <v>0.5</v>
      </c>
      <c r="G266" s="212">
        <f>5</f>
        <v>5</v>
      </c>
      <c r="H266" s="212">
        <f t="shared" si="32"/>
        <v>48.361836466711971</v>
      </c>
      <c r="I266" s="212">
        <f t="shared" si="35"/>
        <v>0.9</v>
      </c>
      <c r="J266" s="212">
        <f>1</f>
        <v>1</v>
      </c>
      <c r="K266" s="212">
        <f t="shared" si="36"/>
        <v>4.1870000000000003</v>
      </c>
      <c r="L266" s="212"/>
      <c r="M266" s="212"/>
      <c r="N266" s="212"/>
      <c r="O266" s="212"/>
      <c r="P266" s="212"/>
      <c r="Q266" s="212"/>
      <c r="R266" s="212"/>
      <c r="S266" s="212"/>
      <c r="T266" s="212"/>
      <c r="U266" s="212"/>
      <c r="V266" s="212"/>
      <c r="W266" s="212"/>
      <c r="X266" s="212"/>
      <c r="Y266" s="212"/>
      <c r="Z266" s="212"/>
      <c r="AA266" s="212"/>
      <c r="AB266" s="212"/>
      <c r="AC266" s="196"/>
      <c r="AD266" s="27"/>
      <c r="AE266" s="213"/>
      <c r="AF266" s="212">
        <f t="shared" si="37"/>
        <v>-4.4237460941198847E-4</v>
      </c>
      <c r="AG266" s="212"/>
      <c r="AH266" s="212"/>
      <c r="AI266" s="212"/>
      <c r="AJ266" s="212"/>
      <c r="AK266" s="212"/>
      <c r="AL266" s="212"/>
      <c r="AM266" s="212"/>
      <c r="AN266" s="212"/>
      <c r="AO266" s="212"/>
      <c r="AP266" s="196"/>
      <c r="AQ266" s="196"/>
      <c r="AR266" s="211"/>
      <c r="AS266" s="212">
        <f t="shared" si="29"/>
        <v>-1.1530606586163118E-5</v>
      </c>
      <c r="AT266" s="212">
        <f>[1]!LIM(AT265+Mode*r0*((1+IntegrationStep/2/Ti+Td/IntegrationStep)*AS266-(1-IntegrationStep/2/Ti+2*Td/IntegrationStep)*AS265+Td/IntegrationStep*AS264))</f>
        <v>0.40301530388926643</v>
      </c>
      <c r="AU266" s="212">
        <f t="shared" si="30"/>
        <v>40.794124671602574</v>
      </c>
      <c r="AW266" s="58"/>
      <c r="AX266" s="58"/>
      <c r="AY266" s="58"/>
      <c r="AZ266" s="58"/>
    </row>
    <row r="267" spans="1:52" s="185" customFormat="1" ht="15" customHeight="1" x14ac:dyDescent="0.25">
      <c r="A267" s="200"/>
      <c r="B267" s="211"/>
      <c r="C267" s="212">
        <f t="shared" si="31"/>
        <v>25.600000000000094</v>
      </c>
      <c r="D267" s="231">
        <f>15+[1]!STEPLOAD(5)</f>
        <v>20</v>
      </c>
      <c r="E267" s="212">
        <f t="shared" si="33"/>
        <v>40.79523349480025</v>
      </c>
      <c r="F267" s="212">
        <f t="shared" si="34"/>
        <v>0.5</v>
      </c>
      <c r="G267" s="212">
        <f>5</f>
        <v>5</v>
      </c>
      <c r="H267" s="212">
        <f t="shared" si="32"/>
        <v>48.362123817141239</v>
      </c>
      <c r="I267" s="212">
        <f t="shared" si="35"/>
        <v>0.9</v>
      </c>
      <c r="J267" s="212">
        <f>1</f>
        <v>1</v>
      </c>
      <c r="K267" s="212">
        <f t="shared" si="36"/>
        <v>4.1870000000000003</v>
      </c>
      <c r="L267" s="212"/>
      <c r="M267" s="212"/>
      <c r="N267" s="212"/>
      <c r="O267" s="212"/>
      <c r="P267" s="212"/>
      <c r="Q267" s="212"/>
      <c r="R267" s="212"/>
      <c r="S267" s="212"/>
      <c r="T267" s="212"/>
      <c r="U267" s="212"/>
      <c r="V267" s="212"/>
      <c r="W267" s="212"/>
      <c r="X267" s="212"/>
      <c r="Y267" s="212"/>
      <c r="Z267" s="212"/>
      <c r="AA267" s="212"/>
      <c r="AB267" s="212"/>
      <c r="AC267" s="196"/>
      <c r="AD267" s="27"/>
      <c r="AE267" s="213"/>
      <c r="AF267" s="212">
        <f t="shared" si="37"/>
        <v>-4.2559760865534813E-4</v>
      </c>
      <c r="AG267" s="212"/>
      <c r="AH267" s="212"/>
      <c r="AI267" s="212"/>
      <c r="AJ267" s="212"/>
      <c r="AK267" s="212"/>
      <c r="AL267" s="212"/>
      <c r="AM267" s="212"/>
      <c r="AN267" s="212"/>
      <c r="AO267" s="212"/>
      <c r="AP267" s="196"/>
      <c r="AQ267" s="196"/>
      <c r="AR267" s="211"/>
      <c r="AS267" s="212">
        <f t="shared" ref="AS267:AS330" si="38">(AU267-E267)/(MeasuredVariableHigher-MeasuredVariableLower)</f>
        <v>-1.1088231976756902E-5</v>
      </c>
      <c r="AT267" s="212">
        <f>[1]!LIM(AT266+Mode*r0*((1+IntegrationStep/2/Ti+Td/IntegrationStep)*AS267-(1-IntegrationStep/2/Ti+2*Td/IntegrationStep)*AS266+Td/IntegrationStep*AS265))</f>
        <v>0.40301769847617697</v>
      </c>
      <c r="AU267" s="212">
        <f t="shared" ref="AU267:AU330" si="39">SetPoint</f>
        <v>40.794124671602574</v>
      </c>
      <c r="AW267" s="58"/>
      <c r="AX267" s="58"/>
      <c r="AY267" s="58"/>
      <c r="AZ267" s="58"/>
    </row>
    <row r="268" spans="1:52" s="185" customFormat="1" ht="15" customHeight="1" x14ac:dyDescent="0.25">
      <c r="A268" s="200"/>
      <c r="B268" s="211"/>
      <c r="C268" s="212">
        <f t="shared" ref="C268:C331" si="40">C267+IntegrationStep</f>
        <v>25.700000000000095</v>
      </c>
      <c r="D268" s="231">
        <f>15+[1]!STEPLOAD(5)</f>
        <v>20</v>
      </c>
      <c r="E268" s="212">
        <f t="shared" si="33"/>
        <v>40.795190935039386</v>
      </c>
      <c r="F268" s="212">
        <f t="shared" si="34"/>
        <v>0.5</v>
      </c>
      <c r="G268" s="212">
        <f>5</f>
        <v>5</v>
      </c>
      <c r="H268" s="212">
        <f t="shared" ref="H268:H331" si="41">ManipulatedVariableHigher*AT268</f>
        <v>48.362400498344023</v>
      </c>
      <c r="I268" s="212">
        <f t="shared" si="35"/>
        <v>0.9</v>
      </c>
      <c r="J268" s="212">
        <f>1</f>
        <v>1</v>
      </c>
      <c r="K268" s="212">
        <f t="shared" si="36"/>
        <v>4.1870000000000003</v>
      </c>
      <c r="L268" s="212"/>
      <c r="M268" s="212"/>
      <c r="N268" s="212"/>
      <c r="O268" s="212"/>
      <c r="P268" s="212"/>
      <c r="Q268" s="212"/>
      <c r="R268" s="212"/>
      <c r="S268" s="212"/>
      <c r="T268" s="212"/>
      <c r="U268" s="212"/>
      <c r="V268" s="212"/>
      <c r="W268" s="212"/>
      <c r="X268" s="212"/>
      <c r="Y268" s="212"/>
      <c r="Z268" s="212"/>
      <c r="AA268" s="212"/>
      <c r="AB268" s="212"/>
      <c r="AC268" s="196"/>
      <c r="AD268" s="27"/>
      <c r="AE268" s="213"/>
      <c r="AF268" s="212">
        <f t="shared" si="37"/>
        <v>-4.0944705017142979E-4</v>
      </c>
      <c r="AG268" s="212"/>
      <c r="AH268" s="212"/>
      <c r="AI268" s="212"/>
      <c r="AJ268" s="212"/>
      <c r="AK268" s="212"/>
      <c r="AL268" s="212"/>
      <c r="AM268" s="212"/>
      <c r="AN268" s="212"/>
      <c r="AO268" s="212"/>
      <c r="AP268" s="196"/>
      <c r="AQ268" s="196"/>
      <c r="AR268" s="211"/>
      <c r="AS268" s="212">
        <f t="shared" si="38"/>
        <v>-1.0662634368117097E-5</v>
      </c>
      <c r="AT268" s="212">
        <f>[1]!LIM(AT267+Mode*r0*((1+IntegrationStep/2/Ti+Td/IntegrationStep)*AS268-(1-IntegrationStep/2/Ti+2*Td/IntegrationStep)*AS267+Td/IntegrationStep*AS266))</f>
        <v>0.40302000415286687</v>
      </c>
      <c r="AU268" s="212">
        <f t="shared" si="39"/>
        <v>40.794124671602574</v>
      </c>
      <c r="AW268" s="58"/>
      <c r="AX268" s="58"/>
      <c r="AY268" s="58"/>
      <c r="AZ268" s="58"/>
    </row>
    <row r="269" spans="1:52" s="185" customFormat="1" ht="15" customHeight="1" x14ac:dyDescent="0.25">
      <c r="A269" s="200"/>
      <c r="B269" s="211"/>
      <c r="C269" s="212">
        <f t="shared" si="40"/>
        <v>25.800000000000097</v>
      </c>
      <c r="D269" s="231">
        <f>15+[1]!STEPLOAD(5)</f>
        <v>20</v>
      </c>
      <c r="E269" s="212">
        <f t="shared" ref="E269:E332" si="42">E268+(C269-C268)*AF268</f>
        <v>40.795149990334366</v>
      </c>
      <c r="F269" s="212">
        <f t="shared" ref="F269:F332" si="43">0.5</f>
        <v>0.5</v>
      </c>
      <c r="G269" s="212">
        <f>5</f>
        <v>5</v>
      </c>
      <c r="H269" s="212">
        <f t="shared" si="41"/>
        <v>48.362666897046452</v>
      </c>
      <c r="I269" s="212">
        <f t="shared" ref="I269:I332" si="44">0.9</f>
        <v>0.9</v>
      </c>
      <c r="J269" s="212">
        <f>1</f>
        <v>1</v>
      </c>
      <c r="K269" s="212">
        <f t="shared" ref="K269:K332" si="45">4.187</f>
        <v>4.1870000000000003</v>
      </c>
      <c r="L269" s="212"/>
      <c r="M269" s="212"/>
      <c r="N269" s="212"/>
      <c r="O269" s="212"/>
      <c r="P269" s="212"/>
      <c r="Q269" s="212"/>
      <c r="R269" s="212"/>
      <c r="S269" s="212"/>
      <c r="T269" s="212"/>
      <c r="U269" s="212"/>
      <c r="V269" s="212"/>
      <c r="W269" s="212"/>
      <c r="X269" s="212"/>
      <c r="Y269" s="212"/>
      <c r="Z269" s="212"/>
      <c r="AA269" s="212"/>
      <c r="AB269" s="212"/>
      <c r="AC269" s="196"/>
      <c r="AD269" s="27"/>
      <c r="AE269" s="213"/>
      <c r="AF269" s="212">
        <f t="shared" ref="AF269:AF332" si="46">F269/G269*(D269-E269)+H269*I269/G269/J269/K269</f>
        <v>-3.9390004409778356E-4</v>
      </c>
      <c r="AG269" s="212"/>
      <c r="AH269" s="212"/>
      <c r="AI269" s="212"/>
      <c r="AJ269" s="212"/>
      <c r="AK269" s="212"/>
      <c r="AL269" s="212"/>
      <c r="AM269" s="212"/>
      <c r="AN269" s="212"/>
      <c r="AO269" s="212"/>
      <c r="AP269" s="196"/>
      <c r="AQ269" s="196"/>
      <c r="AR269" s="211"/>
      <c r="AS269" s="212">
        <f t="shared" si="38"/>
        <v>-1.025318731791458E-5</v>
      </c>
      <c r="AT269" s="212">
        <f>[1]!LIM(AT268+Mode*r0*((1+IntegrationStep/2/Ti+Td/IntegrationStep)*AS269-(1-IntegrationStep/2/Ti+2*Td/IntegrationStep)*AS268+Td/IntegrationStep*AS267))</f>
        <v>0.4030222241420538</v>
      </c>
      <c r="AU269" s="212">
        <f t="shared" si="39"/>
        <v>40.794124671602574</v>
      </c>
      <c r="AW269" s="58"/>
      <c r="AX269" s="58"/>
      <c r="AY269" s="58"/>
      <c r="AZ269" s="58"/>
    </row>
    <row r="270" spans="1:52" s="185" customFormat="1" ht="15" customHeight="1" x14ac:dyDescent="0.25">
      <c r="A270" s="200"/>
      <c r="B270" s="211"/>
      <c r="C270" s="212">
        <f t="shared" si="40"/>
        <v>25.900000000000098</v>
      </c>
      <c r="D270" s="231">
        <f>15+[1]!STEPLOAD(5)</f>
        <v>20</v>
      </c>
      <c r="E270" s="212">
        <f t="shared" si="42"/>
        <v>40.795110600329956</v>
      </c>
      <c r="F270" s="212">
        <f t="shared" si="43"/>
        <v>0.5</v>
      </c>
      <c r="G270" s="212">
        <f>5</f>
        <v>5</v>
      </c>
      <c r="H270" s="212">
        <f t="shared" si="41"/>
        <v>48.362923386447527</v>
      </c>
      <c r="I270" s="212">
        <f t="shared" si="44"/>
        <v>0.9</v>
      </c>
      <c r="J270" s="212">
        <f>1</f>
        <v>1</v>
      </c>
      <c r="K270" s="212">
        <f t="shared" si="45"/>
        <v>4.1870000000000003</v>
      </c>
      <c r="L270" s="212"/>
      <c r="M270" s="212"/>
      <c r="N270" s="212"/>
      <c r="O270" s="212"/>
      <c r="P270" s="212"/>
      <c r="Q270" s="212"/>
      <c r="R270" s="212"/>
      <c r="S270" s="212"/>
      <c r="T270" s="212"/>
      <c r="U270" s="212"/>
      <c r="V270" s="212"/>
      <c r="W270" s="212"/>
      <c r="X270" s="212"/>
      <c r="Y270" s="212"/>
      <c r="Z270" s="212"/>
      <c r="AA270" s="212"/>
      <c r="AB270" s="212"/>
      <c r="AC270" s="196"/>
      <c r="AD270" s="27"/>
      <c r="AE270" s="213"/>
      <c r="AF270" s="212">
        <f t="shared" si="46"/>
        <v>-3.789345110098985E-4</v>
      </c>
      <c r="AG270" s="212"/>
      <c r="AH270" s="212"/>
      <c r="AI270" s="212"/>
      <c r="AJ270" s="212"/>
      <c r="AK270" s="212"/>
      <c r="AL270" s="212"/>
      <c r="AM270" s="212"/>
      <c r="AN270" s="212"/>
      <c r="AO270" s="212"/>
      <c r="AP270" s="196"/>
      <c r="AQ270" s="196"/>
      <c r="AR270" s="211"/>
      <c r="AS270" s="212">
        <f t="shared" si="38"/>
        <v>-9.8592872738123568E-6</v>
      </c>
      <c r="AT270" s="212">
        <f>[1]!LIM(AT269+Mode*r0*((1+IntegrationStep/2/Ti+Td/IntegrationStep)*AS270-(1-IntegrationStep/2/Ti+2*Td/IntegrationStep)*AS269+Td/IntegrationStep*AS268))</f>
        <v>0.40302436155372939</v>
      </c>
      <c r="AU270" s="212">
        <f t="shared" si="39"/>
        <v>40.794124671602574</v>
      </c>
      <c r="AW270" s="58"/>
      <c r="AX270" s="58"/>
      <c r="AY270" s="58"/>
      <c r="AZ270" s="58"/>
    </row>
    <row r="271" spans="1:52" s="185" customFormat="1" ht="15" customHeight="1" x14ac:dyDescent="0.25">
      <c r="A271" s="200"/>
      <c r="B271" s="211"/>
      <c r="C271" s="212">
        <f t="shared" si="40"/>
        <v>26.000000000000099</v>
      </c>
      <c r="D271" s="231">
        <f>15+[1]!STEPLOAD(5)</f>
        <v>20</v>
      </c>
      <c r="E271" s="212">
        <f t="shared" si="42"/>
        <v>40.795072706878855</v>
      </c>
      <c r="F271" s="212">
        <f t="shared" si="43"/>
        <v>0.5</v>
      </c>
      <c r="G271" s="212">
        <f>5</f>
        <v>5</v>
      </c>
      <c r="H271" s="212">
        <f t="shared" si="41"/>
        <v>48.363170326666513</v>
      </c>
      <c r="I271" s="212">
        <f t="shared" si="44"/>
        <v>0.9</v>
      </c>
      <c r="J271" s="212">
        <f>1</f>
        <v>1</v>
      </c>
      <c r="K271" s="212">
        <f t="shared" si="45"/>
        <v>4.1870000000000003</v>
      </c>
      <c r="L271" s="212"/>
      <c r="M271" s="212"/>
      <c r="N271" s="212"/>
      <c r="O271" s="212"/>
      <c r="P271" s="212"/>
      <c r="Q271" s="212"/>
      <c r="R271" s="212"/>
      <c r="S271" s="212"/>
      <c r="T271" s="212"/>
      <c r="U271" s="212"/>
      <c r="V271" s="212"/>
      <c r="W271" s="212"/>
      <c r="X271" s="212"/>
      <c r="Y271" s="212"/>
      <c r="Z271" s="212"/>
      <c r="AA271" s="212"/>
      <c r="AB271" s="212"/>
      <c r="AC271" s="196"/>
      <c r="AD271" s="27"/>
      <c r="AE271" s="213"/>
      <c r="AF271" s="212">
        <f t="shared" si="46"/>
        <v>-3.645291545746332E-4</v>
      </c>
      <c r="AG271" s="212"/>
      <c r="AH271" s="212"/>
      <c r="AI271" s="212"/>
      <c r="AJ271" s="212"/>
      <c r="AK271" s="212"/>
      <c r="AL271" s="212"/>
      <c r="AM271" s="212"/>
      <c r="AN271" s="212"/>
      <c r="AO271" s="212"/>
      <c r="AP271" s="196"/>
      <c r="AQ271" s="196"/>
      <c r="AR271" s="211"/>
      <c r="AS271" s="212">
        <f t="shared" si="38"/>
        <v>-9.4803527628073421E-6</v>
      </c>
      <c r="AT271" s="212">
        <f>[1]!LIM(AT270+Mode*r0*((1+IntegrationStep/2/Ti+Td/IntegrationStep)*AS271-(1-IntegrationStep/2/Ti+2*Td/IntegrationStep)*AS270+Td/IntegrationStep*AS269))</f>
        <v>0.40302641938888761</v>
      </c>
      <c r="AU271" s="212">
        <f t="shared" si="39"/>
        <v>40.794124671602574</v>
      </c>
      <c r="AW271" s="58"/>
      <c r="AX271" s="58"/>
      <c r="AY271" s="58"/>
      <c r="AZ271" s="58"/>
    </row>
    <row r="272" spans="1:52" s="185" customFormat="1" ht="15" customHeight="1" x14ac:dyDescent="0.25">
      <c r="A272" s="200"/>
      <c r="B272" s="211"/>
      <c r="C272" s="212">
        <f t="shared" si="40"/>
        <v>26.100000000000101</v>
      </c>
      <c r="D272" s="231">
        <f>15+[1]!STEPLOAD(5)</f>
        <v>20</v>
      </c>
      <c r="E272" s="212">
        <f t="shared" si="42"/>
        <v>40.795036253963396</v>
      </c>
      <c r="F272" s="212">
        <f t="shared" si="43"/>
        <v>0.5</v>
      </c>
      <c r="G272" s="212">
        <f>5</f>
        <v>5</v>
      </c>
      <c r="H272" s="212">
        <f t="shared" si="41"/>
        <v>48.363408065176436</v>
      </c>
      <c r="I272" s="212">
        <f t="shared" si="44"/>
        <v>0.9</v>
      </c>
      <c r="J272" s="212">
        <f>1</f>
        <v>1</v>
      </c>
      <c r="K272" s="212">
        <f t="shared" si="45"/>
        <v>4.1870000000000003</v>
      </c>
      <c r="L272" s="212"/>
      <c r="M272" s="212"/>
      <c r="N272" s="212"/>
      <c r="O272" s="212"/>
      <c r="P272" s="212"/>
      <c r="Q272" s="212"/>
      <c r="R272" s="212"/>
      <c r="S272" s="212"/>
      <c r="T272" s="212"/>
      <c r="U272" s="212"/>
      <c r="V272" s="212"/>
      <c r="W272" s="212"/>
      <c r="X272" s="212"/>
      <c r="Y272" s="212"/>
      <c r="Z272" s="212"/>
      <c r="AA272" s="212"/>
      <c r="AB272" s="212"/>
      <c r="AC272" s="196"/>
      <c r="AD272" s="27"/>
      <c r="AE272" s="213"/>
      <c r="AF272" s="212">
        <f t="shared" si="46"/>
        <v>-3.5066343508827202E-4</v>
      </c>
      <c r="AG272" s="212"/>
      <c r="AH272" s="212"/>
      <c r="AI272" s="212"/>
      <c r="AJ272" s="212"/>
      <c r="AK272" s="212"/>
      <c r="AL272" s="212"/>
      <c r="AM272" s="212"/>
      <c r="AN272" s="212"/>
      <c r="AO272" s="212"/>
      <c r="AP272" s="196"/>
      <c r="AQ272" s="196"/>
      <c r="AR272" s="211"/>
      <c r="AS272" s="212">
        <f t="shared" si="38"/>
        <v>-9.1158236082122818E-6</v>
      </c>
      <c r="AT272" s="212">
        <f>[1]!LIM(AT271+Mode*r0*((1+IntegrationStep/2/Ti+Td/IntegrationStep)*AS272-(1-IntegrationStep/2/Ti+2*Td/IntegrationStep)*AS271+Td/IntegrationStep*AS270))</f>
        <v>0.40302840054313699</v>
      </c>
      <c r="AU272" s="212">
        <f t="shared" si="39"/>
        <v>40.794124671602574</v>
      </c>
      <c r="AW272" s="58"/>
      <c r="AX272" s="58"/>
      <c r="AY272" s="58"/>
      <c r="AZ272" s="58"/>
    </row>
    <row r="273" spans="1:52" s="185" customFormat="1" ht="15" customHeight="1" x14ac:dyDescent="0.25">
      <c r="A273" s="200"/>
      <c r="B273" s="211"/>
      <c r="C273" s="212">
        <f t="shared" si="40"/>
        <v>26.200000000000102</v>
      </c>
      <c r="D273" s="231">
        <f>15+[1]!STEPLOAD(5)</f>
        <v>20</v>
      </c>
      <c r="E273" s="212">
        <f t="shared" si="42"/>
        <v>40.795001187619889</v>
      </c>
      <c r="F273" s="212">
        <f t="shared" si="43"/>
        <v>0.5</v>
      </c>
      <c r="G273" s="212">
        <f>5</f>
        <v>5</v>
      </c>
      <c r="H273" s="212">
        <f t="shared" si="41"/>
        <v>48.363636937224484</v>
      </c>
      <c r="I273" s="212">
        <f t="shared" si="44"/>
        <v>0.9</v>
      </c>
      <c r="J273" s="212">
        <f>1</f>
        <v>1</v>
      </c>
      <c r="K273" s="212">
        <f t="shared" si="45"/>
        <v>4.1870000000000003</v>
      </c>
      <c r="L273" s="212"/>
      <c r="M273" s="212"/>
      <c r="N273" s="212"/>
      <c r="O273" s="212"/>
      <c r="P273" s="212"/>
      <c r="Q273" s="212"/>
      <c r="R273" s="212"/>
      <c r="S273" s="212"/>
      <c r="T273" s="212"/>
      <c r="U273" s="212"/>
      <c r="V273" s="212"/>
      <c r="W273" s="212"/>
      <c r="X273" s="212"/>
      <c r="Y273" s="212"/>
      <c r="Z273" s="212"/>
      <c r="AA273" s="212"/>
      <c r="AB273" s="212"/>
      <c r="AC273" s="196"/>
      <c r="AD273" s="27"/>
      <c r="AE273" s="213"/>
      <c r="AF273" s="212">
        <f t="shared" si="46"/>
        <v>-3.3731754383614643E-4</v>
      </c>
      <c r="AG273" s="212"/>
      <c r="AH273" s="212"/>
      <c r="AI273" s="212"/>
      <c r="AJ273" s="212"/>
      <c r="AK273" s="212"/>
      <c r="AL273" s="212"/>
      <c r="AM273" s="212"/>
      <c r="AN273" s="212"/>
      <c r="AO273" s="212"/>
      <c r="AP273" s="196"/>
      <c r="AQ273" s="196"/>
      <c r="AR273" s="211"/>
      <c r="AS273" s="212">
        <f t="shared" si="38"/>
        <v>-8.7651601731408842E-6</v>
      </c>
      <c r="AT273" s="212">
        <f>[1]!LIM(AT272+Mode*r0*((1+IntegrationStep/2/Ti+Td/IntegrationStep)*AS273-(1-IntegrationStep/2/Ti+2*Td/IntegrationStep)*AS272+Td/IntegrationStep*AS271))</f>
        <v>0.40303030781020405</v>
      </c>
      <c r="AU273" s="212">
        <f t="shared" si="39"/>
        <v>40.794124671602574</v>
      </c>
      <c r="AW273" s="58"/>
      <c r="AX273" s="58"/>
      <c r="AY273" s="58"/>
      <c r="AZ273" s="58"/>
    </row>
    <row r="274" spans="1:52" s="185" customFormat="1" ht="15" customHeight="1" x14ac:dyDescent="0.25">
      <c r="A274" s="200"/>
      <c r="B274" s="211"/>
      <c r="C274" s="212">
        <f t="shared" si="40"/>
        <v>26.300000000000104</v>
      </c>
      <c r="D274" s="231">
        <f>15+[1]!STEPLOAD(5)</f>
        <v>20</v>
      </c>
      <c r="E274" s="212">
        <f t="shared" si="42"/>
        <v>40.794967455865503</v>
      </c>
      <c r="F274" s="212">
        <f t="shared" si="43"/>
        <v>0.5</v>
      </c>
      <c r="G274" s="212">
        <f>5</f>
        <v>5</v>
      </c>
      <c r="H274" s="212">
        <f t="shared" si="41"/>
        <v>48.363857266240366</v>
      </c>
      <c r="I274" s="212">
        <f t="shared" si="44"/>
        <v>0.9</v>
      </c>
      <c r="J274" s="212">
        <f>1</f>
        <v>1</v>
      </c>
      <c r="K274" s="212">
        <f t="shared" si="45"/>
        <v>4.1870000000000003</v>
      </c>
      <c r="L274" s="212"/>
      <c r="M274" s="212"/>
      <c r="N274" s="212"/>
      <c r="O274" s="212"/>
      <c r="P274" s="212"/>
      <c r="Q274" s="212"/>
      <c r="R274" s="212"/>
      <c r="S274" s="212"/>
      <c r="T274" s="212"/>
      <c r="U274" s="212"/>
      <c r="V274" s="212"/>
      <c r="W274" s="212"/>
      <c r="X274" s="212"/>
      <c r="Y274" s="212"/>
      <c r="Z274" s="212"/>
      <c r="AA274" s="212"/>
      <c r="AB274" s="212"/>
      <c r="AC274" s="196"/>
      <c r="AD274" s="27"/>
      <c r="AE274" s="213"/>
      <c r="AF274" s="212">
        <f t="shared" si="46"/>
        <v>-3.2447237822363917E-4</v>
      </c>
      <c r="AG274" s="212"/>
      <c r="AH274" s="212"/>
      <c r="AI274" s="212"/>
      <c r="AJ274" s="212"/>
      <c r="AK274" s="212"/>
      <c r="AL274" s="212"/>
      <c r="AM274" s="212"/>
      <c r="AN274" s="212"/>
      <c r="AO274" s="212"/>
      <c r="AP274" s="196"/>
      <c r="AQ274" s="196"/>
      <c r="AR274" s="211"/>
      <c r="AS274" s="212">
        <f t="shared" si="38"/>
        <v>-8.4278426292883075E-6</v>
      </c>
      <c r="AT274" s="212">
        <f>[1]!LIM(AT273+Mode*r0*((1+IntegrationStep/2/Ti+Td/IntegrationStep)*AS274-(1-IntegrationStep/2/Ti+2*Td/IntegrationStep)*AS273+Td/IntegrationStep*AS272))</f>
        <v>0.40303214388533637</v>
      </c>
      <c r="AU274" s="212">
        <f t="shared" si="39"/>
        <v>40.794124671602574</v>
      </c>
      <c r="AW274" s="58"/>
      <c r="AX274" s="58"/>
      <c r="AY274" s="58"/>
      <c r="AZ274" s="58"/>
    </row>
    <row r="275" spans="1:52" s="185" customFormat="1" ht="15" customHeight="1" x14ac:dyDescent="0.25">
      <c r="A275" s="200"/>
      <c r="B275" s="211"/>
      <c r="C275" s="212">
        <f t="shared" si="40"/>
        <v>26.400000000000105</v>
      </c>
      <c r="D275" s="231">
        <f>15+[1]!STEPLOAD(5)</f>
        <v>20</v>
      </c>
      <c r="E275" s="212">
        <f t="shared" si="42"/>
        <v>40.794935008627682</v>
      </c>
      <c r="F275" s="212">
        <f t="shared" si="43"/>
        <v>0.5</v>
      </c>
      <c r="G275" s="212">
        <f>5</f>
        <v>5</v>
      </c>
      <c r="H275" s="212">
        <f t="shared" si="41"/>
        <v>48.364069364231334</v>
      </c>
      <c r="I275" s="212">
        <f t="shared" si="44"/>
        <v>0.9</v>
      </c>
      <c r="J275" s="212">
        <f>1</f>
        <v>1</v>
      </c>
      <c r="K275" s="212">
        <f t="shared" si="45"/>
        <v>4.1870000000000003</v>
      </c>
      <c r="L275" s="212"/>
      <c r="M275" s="212"/>
      <c r="N275" s="212"/>
      <c r="O275" s="212"/>
      <c r="P275" s="212"/>
      <c r="Q275" s="212"/>
      <c r="R275" s="212"/>
      <c r="S275" s="212"/>
      <c r="T275" s="212"/>
      <c r="U275" s="212"/>
      <c r="V275" s="212"/>
      <c r="W275" s="212"/>
      <c r="X275" s="212"/>
      <c r="Y275" s="212"/>
      <c r="Z275" s="212"/>
      <c r="AA275" s="212"/>
      <c r="AB275" s="212"/>
      <c r="AC275" s="196"/>
      <c r="AD275" s="27"/>
      <c r="AE275" s="213"/>
      <c r="AF275" s="212">
        <f t="shared" si="46"/>
        <v>-3.1210951773852358E-4</v>
      </c>
      <c r="AG275" s="212"/>
      <c r="AH275" s="212"/>
      <c r="AI275" s="212"/>
      <c r="AJ275" s="212"/>
      <c r="AK275" s="212"/>
      <c r="AL275" s="212"/>
      <c r="AM275" s="212"/>
      <c r="AN275" s="212"/>
      <c r="AO275" s="212"/>
      <c r="AP275" s="196"/>
      <c r="AQ275" s="196"/>
      <c r="AR275" s="211"/>
      <c r="AS275" s="212">
        <f t="shared" si="38"/>
        <v>-8.1033702510779897E-6</v>
      </c>
      <c r="AT275" s="212">
        <f>[1]!LIM(AT274+Mode*r0*((1+IntegrationStep/2/Ti+Td/IntegrationStep)*AS275-(1-IntegrationStep/2/Ti+2*Td/IntegrationStep)*AS274+Td/IntegrationStep*AS273))</f>
        <v>0.40303391136859446</v>
      </c>
      <c r="AU275" s="212">
        <f t="shared" si="39"/>
        <v>40.794124671602574</v>
      </c>
      <c r="AW275" s="58"/>
      <c r="AX275" s="58"/>
      <c r="AY275" s="58"/>
      <c r="AZ275" s="58"/>
    </row>
    <row r="276" spans="1:52" s="185" customFormat="1" ht="15" customHeight="1" x14ac:dyDescent="0.25">
      <c r="A276" s="200"/>
      <c r="B276" s="211"/>
      <c r="C276" s="212">
        <f t="shared" si="40"/>
        <v>26.500000000000107</v>
      </c>
      <c r="D276" s="231">
        <f>15+[1]!STEPLOAD(5)</f>
        <v>20</v>
      </c>
      <c r="E276" s="212">
        <f t="shared" si="42"/>
        <v>40.794903797675907</v>
      </c>
      <c r="F276" s="212">
        <f t="shared" si="43"/>
        <v>0.5</v>
      </c>
      <c r="G276" s="212">
        <f>5</f>
        <v>5</v>
      </c>
      <c r="H276" s="212">
        <f t="shared" si="41"/>
        <v>48.364273532166131</v>
      </c>
      <c r="I276" s="212">
        <f t="shared" si="44"/>
        <v>0.9</v>
      </c>
      <c r="J276" s="212">
        <f>1</f>
        <v>1</v>
      </c>
      <c r="K276" s="212">
        <f t="shared" si="45"/>
        <v>4.1870000000000003</v>
      </c>
      <c r="L276" s="212"/>
      <c r="M276" s="212"/>
      <c r="N276" s="212"/>
      <c r="O276" s="212"/>
      <c r="P276" s="212"/>
      <c r="Q276" s="212"/>
      <c r="R276" s="212"/>
      <c r="S276" s="212"/>
      <c r="T276" s="212"/>
      <c r="U276" s="212"/>
      <c r="V276" s="212"/>
      <c r="W276" s="212"/>
      <c r="X276" s="212"/>
      <c r="Y276" s="212"/>
      <c r="Z276" s="212"/>
      <c r="AA276" s="212"/>
      <c r="AB276" s="212"/>
      <c r="AC276" s="196"/>
      <c r="AD276" s="27"/>
      <c r="AE276" s="213"/>
      <c r="AF276" s="212">
        <f t="shared" si="46"/>
        <v>-3.0021120062118101E-4</v>
      </c>
      <c r="AG276" s="212"/>
      <c r="AH276" s="212"/>
      <c r="AI276" s="212"/>
      <c r="AJ276" s="212"/>
      <c r="AK276" s="212"/>
      <c r="AL276" s="212"/>
      <c r="AM276" s="212"/>
      <c r="AN276" s="212"/>
      <c r="AO276" s="212"/>
      <c r="AP276" s="196"/>
      <c r="AQ276" s="196"/>
      <c r="AR276" s="211"/>
      <c r="AS276" s="212">
        <f t="shared" si="38"/>
        <v>-7.7912607333274765E-6</v>
      </c>
      <c r="AT276" s="212">
        <f>[1]!LIM(AT275+Mode*r0*((1+IntegrationStep/2/Ti+Td/IntegrationStep)*AS276-(1-IntegrationStep/2/Ti+2*Td/IntegrationStep)*AS275+Td/IntegrationStep*AS274))</f>
        <v>0.40303561276805111</v>
      </c>
      <c r="AU276" s="212">
        <f t="shared" si="39"/>
        <v>40.794124671602574</v>
      </c>
      <c r="AW276" s="58"/>
      <c r="AX276" s="58"/>
      <c r="AY276" s="58"/>
      <c r="AZ276" s="58"/>
    </row>
    <row r="277" spans="1:52" s="185" customFormat="1" ht="15" customHeight="1" x14ac:dyDescent="0.25">
      <c r="A277" s="200"/>
      <c r="B277" s="211"/>
      <c r="C277" s="212">
        <f t="shared" si="40"/>
        <v>26.600000000000108</v>
      </c>
      <c r="D277" s="231">
        <f>15+[1]!STEPLOAD(5)</f>
        <v>20</v>
      </c>
      <c r="E277" s="212">
        <f t="shared" si="42"/>
        <v>40.794873776555846</v>
      </c>
      <c r="F277" s="212">
        <f t="shared" si="43"/>
        <v>0.5</v>
      </c>
      <c r="G277" s="212">
        <f>5</f>
        <v>5</v>
      </c>
      <c r="H277" s="212">
        <f t="shared" si="41"/>
        <v>48.364470060346243</v>
      </c>
      <c r="I277" s="212">
        <f t="shared" si="44"/>
        <v>0.9</v>
      </c>
      <c r="J277" s="212">
        <f>1</f>
        <v>1</v>
      </c>
      <c r="K277" s="212">
        <f t="shared" si="45"/>
        <v>4.1870000000000003</v>
      </c>
      <c r="L277" s="212"/>
      <c r="M277" s="212"/>
      <c r="N277" s="212"/>
      <c r="O277" s="212"/>
      <c r="P277" s="212"/>
      <c r="Q277" s="212"/>
      <c r="R277" s="212"/>
      <c r="S277" s="212"/>
      <c r="T277" s="212"/>
      <c r="U277" s="212"/>
      <c r="V277" s="212"/>
      <c r="W277" s="212"/>
      <c r="X277" s="212"/>
      <c r="Y277" s="212"/>
      <c r="Z277" s="212"/>
      <c r="AA277" s="212"/>
      <c r="AB277" s="212"/>
      <c r="AC277" s="196"/>
      <c r="AD277" s="27"/>
      <c r="AE277" s="213"/>
      <c r="AF277" s="212">
        <f t="shared" si="46"/>
        <v>-2.8876030131641528E-4</v>
      </c>
      <c r="AG277" s="212"/>
      <c r="AH277" s="212"/>
      <c r="AI277" s="212"/>
      <c r="AJ277" s="212"/>
      <c r="AK277" s="212"/>
      <c r="AL277" s="212"/>
      <c r="AM277" s="212"/>
      <c r="AN277" s="212"/>
      <c r="AO277" s="212"/>
      <c r="AP277" s="196"/>
      <c r="AQ277" s="196"/>
      <c r="AR277" s="211"/>
      <c r="AS277" s="212">
        <f t="shared" si="38"/>
        <v>-7.4910495327173976E-6</v>
      </c>
      <c r="AT277" s="212">
        <f>[1]!LIM(AT276+Mode*r0*((1+IntegrationStep/2/Ti+Td/IntegrationStep)*AS277-(1-IntegrationStep/2/Ti+2*Td/IntegrationStep)*AS276+Td/IntegrationStep*AS275))</f>
        <v>0.40303725050288536</v>
      </c>
      <c r="AU277" s="212">
        <f t="shared" si="39"/>
        <v>40.794124671602574</v>
      </c>
      <c r="AW277" s="58"/>
      <c r="AX277" s="58"/>
      <c r="AY277" s="58"/>
      <c r="AZ277" s="58"/>
    </row>
    <row r="278" spans="1:52" s="185" customFormat="1" ht="15" customHeight="1" x14ac:dyDescent="0.25">
      <c r="A278" s="200"/>
      <c r="B278" s="211"/>
      <c r="C278" s="212">
        <f t="shared" si="40"/>
        <v>26.700000000000109</v>
      </c>
      <c r="D278" s="231">
        <f>15+[1]!STEPLOAD(5)</f>
        <v>20</v>
      </c>
      <c r="E278" s="212">
        <f t="shared" si="42"/>
        <v>40.794844900525717</v>
      </c>
      <c r="F278" s="212">
        <f t="shared" si="43"/>
        <v>0.5</v>
      </c>
      <c r="G278" s="212">
        <f>5</f>
        <v>5</v>
      </c>
      <c r="H278" s="212">
        <f t="shared" si="41"/>
        <v>48.364659228766371</v>
      </c>
      <c r="I278" s="212">
        <f t="shared" si="44"/>
        <v>0.9</v>
      </c>
      <c r="J278" s="212">
        <f>1</f>
        <v>1</v>
      </c>
      <c r="K278" s="212">
        <f t="shared" si="45"/>
        <v>4.1870000000000003</v>
      </c>
      <c r="L278" s="212"/>
      <c r="M278" s="212"/>
      <c r="N278" s="212"/>
      <c r="O278" s="212"/>
      <c r="P278" s="212"/>
      <c r="Q278" s="212"/>
      <c r="R278" s="212"/>
      <c r="S278" s="212"/>
      <c r="T278" s="212"/>
      <c r="U278" s="212"/>
      <c r="V278" s="212"/>
      <c r="W278" s="212"/>
      <c r="X278" s="212"/>
      <c r="Y278" s="212"/>
      <c r="Z278" s="212"/>
      <c r="AA278" s="212"/>
      <c r="AB278" s="212"/>
      <c r="AC278" s="196"/>
      <c r="AD278" s="27"/>
      <c r="AE278" s="213"/>
      <c r="AF278" s="212">
        <f t="shared" si="46"/>
        <v>-2.7774030861538179E-4</v>
      </c>
      <c r="AG278" s="212"/>
      <c r="AH278" s="212"/>
      <c r="AI278" s="212"/>
      <c r="AJ278" s="212"/>
      <c r="AK278" s="212"/>
      <c r="AL278" s="212"/>
      <c r="AM278" s="212"/>
      <c r="AN278" s="212"/>
      <c r="AO278" s="212"/>
      <c r="AP278" s="196"/>
      <c r="AQ278" s="196"/>
      <c r="AR278" s="211"/>
      <c r="AS278" s="212">
        <f t="shared" si="38"/>
        <v>-7.2022892314294043E-6</v>
      </c>
      <c r="AT278" s="212">
        <f>[1]!LIM(AT277+Mode*r0*((1+IntegrationStep/2/Ti+Td/IntegrationStep)*AS278-(1-IntegrationStep/2/Ti+2*Td/IntegrationStep)*AS277+Td/IntegrationStep*AS276))</f>
        <v>0.40303882690638643</v>
      </c>
      <c r="AU278" s="212">
        <f t="shared" si="39"/>
        <v>40.794124671602574</v>
      </c>
      <c r="AW278" s="58"/>
      <c r="AX278" s="58"/>
      <c r="AY278" s="58"/>
      <c r="AZ278" s="58"/>
    </row>
    <row r="279" spans="1:52" s="185" customFormat="1" ht="15" customHeight="1" x14ac:dyDescent="0.25">
      <c r="A279" s="200"/>
      <c r="B279" s="211"/>
      <c r="C279" s="212">
        <f t="shared" si="40"/>
        <v>26.800000000000111</v>
      </c>
      <c r="D279" s="231">
        <f>15+[1]!STEPLOAD(5)</f>
        <v>20</v>
      </c>
      <c r="E279" s="212">
        <f t="shared" si="42"/>
        <v>40.794817126494856</v>
      </c>
      <c r="F279" s="212">
        <f t="shared" si="43"/>
        <v>0.5</v>
      </c>
      <c r="G279" s="212">
        <f>5</f>
        <v>5</v>
      </c>
      <c r="H279" s="212">
        <f t="shared" si="41"/>
        <v>48.364841307463408</v>
      </c>
      <c r="I279" s="212">
        <f t="shared" si="44"/>
        <v>0.9</v>
      </c>
      <c r="J279" s="212">
        <f>1</f>
        <v>1</v>
      </c>
      <c r="K279" s="212">
        <f t="shared" si="45"/>
        <v>4.1870000000000003</v>
      </c>
      <c r="L279" s="212"/>
      <c r="M279" s="212"/>
      <c r="N279" s="212"/>
      <c r="O279" s="212"/>
      <c r="P279" s="212"/>
      <c r="Q279" s="212"/>
      <c r="R279" s="212"/>
      <c r="S279" s="212"/>
      <c r="T279" s="212"/>
      <c r="U279" s="212"/>
      <c r="V279" s="212"/>
      <c r="W279" s="212"/>
      <c r="X279" s="212"/>
      <c r="Y279" s="212"/>
      <c r="Z279" s="212"/>
      <c r="AA279" s="212"/>
      <c r="AB279" s="212"/>
      <c r="AC279" s="196"/>
      <c r="AD279" s="27"/>
      <c r="AE279" s="213"/>
      <c r="AF279" s="212">
        <f t="shared" si="46"/>
        <v>-2.6713530450983569E-4</v>
      </c>
      <c r="AG279" s="212"/>
      <c r="AH279" s="212"/>
      <c r="AI279" s="212"/>
      <c r="AJ279" s="212"/>
      <c r="AK279" s="212"/>
      <c r="AL279" s="212"/>
      <c r="AM279" s="212"/>
      <c r="AN279" s="212"/>
      <c r="AO279" s="212"/>
      <c r="AP279" s="196"/>
      <c r="AQ279" s="196"/>
      <c r="AR279" s="211"/>
      <c r="AS279" s="212">
        <f t="shared" si="38"/>
        <v>-6.9245489228109135E-6</v>
      </c>
      <c r="AT279" s="212">
        <f>[1]!LIM(AT278+Mode*r0*((1+IntegrationStep/2/Ti+Td/IntegrationStep)*AS279-(1-IntegrationStep/2/Ti+2*Td/IntegrationStep)*AS278+Td/IntegrationStep*AS277))</f>
        <v>0.40304034422886176</v>
      </c>
      <c r="AU279" s="212">
        <f t="shared" si="39"/>
        <v>40.794124671602574</v>
      </c>
      <c r="AW279" s="58"/>
      <c r="AX279" s="58"/>
      <c r="AY279" s="58"/>
      <c r="AZ279" s="58"/>
    </row>
    <row r="280" spans="1:52" s="185" customFormat="1" ht="15" customHeight="1" x14ac:dyDescent="0.25">
      <c r="A280" s="200"/>
      <c r="B280" s="211"/>
      <c r="C280" s="212">
        <f t="shared" si="40"/>
        <v>26.900000000000112</v>
      </c>
      <c r="D280" s="231">
        <f>15+[1]!STEPLOAD(5)</f>
        <v>20</v>
      </c>
      <c r="E280" s="212">
        <f t="shared" si="42"/>
        <v>40.794790412964403</v>
      </c>
      <c r="F280" s="212">
        <f t="shared" si="43"/>
        <v>0.5</v>
      </c>
      <c r="G280" s="212">
        <f>5</f>
        <v>5</v>
      </c>
      <c r="H280" s="212">
        <f t="shared" si="41"/>
        <v>48.365016556854385</v>
      </c>
      <c r="I280" s="212">
        <f t="shared" si="44"/>
        <v>0.9</v>
      </c>
      <c r="J280" s="212">
        <f>1</f>
        <v>1</v>
      </c>
      <c r="K280" s="212">
        <f t="shared" si="45"/>
        <v>4.1870000000000003</v>
      </c>
      <c r="L280" s="212"/>
      <c r="M280" s="212"/>
      <c r="N280" s="212"/>
      <c r="O280" s="212"/>
      <c r="P280" s="212"/>
      <c r="Q280" s="212"/>
      <c r="R280" s="212"/>
      <c r="S280" s="212"/>
      <c r="T280" s="212"/>
      <c r="U280" s="212"/>
      <c r="V280" s="212"/>
      <c r="W280" s="212"/>
      <c r="X280" s="212"/>
      <c r="Y280" s="212"/>
      <c r="Z280" s="212"/>
      <c r="AA280" s="212"/>
      <c r="AB280" s="212"/>
      <c r="AC280" s="196"/>
      <c r="AD280" s="27"/>
      <c r="AE280" s="213"/>
      <c r="AF280" s="212">
        <f t="shared" si="46"/>
        <v>-2.5692994373249789E-4</v>
      </c>
      <c r="AG280" s="212"/>
      <c r="AH280" s="212"/>
      <c r="AI280" s="212"/>
      <c r="AJ280" s="212"/>
      <c r="AK280" s="212"/>
      <c r="AL280" s="212"/>
      <c r="AM280" s="212"/>
      <c r="AN280" s="212"/>
      <c r="AO280" s="212"/>
      <c r="AP280" s="196"/>
      <c r="AQ280" s="196"/>
      <c r="AR280" s="211"/>
      <c r="AS280" s="212">
        <f t="shared" si="38"/>
        <v>-6.657413618285091E-6</v>
      </c>
      <c r="AT280" s="212">
        <f>[1]!LIM(AT279+Mode*r0*((1+IntegrationStep/2/Ti+Td/IntegrationStep)*AS280-(1-IntegrationStep/2/Ti+2*Td/IntegrationStep)*AS279+Td/IntegrationStep*AS278))</f>
        <v>0.40304180464045319</v>
      </c>
      <c r="AU280" s="212">
        <f t="shared" si="39"/>
        <v>40.794124671602574</v>
      </c>
      <c r="AW280" s="58"/>
      <c r="AX280" s="58"/>
      <c r="AY280" s="58"/>
      <c r="AZ280" s="58"/>
    </row>
    <row r="281" spans="1:52" s="185" customFormat="1" ht="15" customHeight="1" x14ac:dyDescent="0.25">
      <c r="A281" s="200"/>
      <c r="B281" s="211"/>
      <c r="C281" s="212">
        <f t="shared" si="40"/>
        <v>27.000000000000114</v>
      </c>
      <c r="D281" s="231">
        <f>15+[1]!STEPLOAD(5)</f>
        <v>20</v>
      </c>
      <c r="E281" s="212">
        <f t="shared" si="42"/>
        <v>40.794764719970033</v>
      </c>
      <c r="F281" s="212">
        <f t="shared" si="43"/>
        <v>0.5</v>
      </c>
      <c r="G281" s="212">
        <f>5</f>
        <v>5</v>
      </c>
      <c r="H281" s="212">
        <f t="shared" si="41"/>
        <v>48.365185228063957</v>
      </c>
      <c r="I281" s="212">
        <f t="shared" si="44"/>
        <v>0.9</v>
      </c>
      <c r="J281" s="212">
        <f>1</f>
        <v>1</v>
      </c>
      <c r="K281" s="212">
        <f t="shared" si="45"/>
        <v>4.1870000000000003</v>
      </c>
      <c r="L281" s="212"/>
      <c r="M281" s="212"/>
      <c r="N281" s="212"/>
      <c r="O281" s="212"/>
      <c r="P281" s="212"/>
      <c r="Q281" s="212"/>
      <c r="R281" s="212"/>
      <c r="S281" s="212"/>
      <c r="T281" s="212"/>
      <c r="U281" s="212"/>
      <c r="V281" s="212"/>
      <c r="W281" s="212"/>
      <c r="X281" s="212"/>
      <c r="Y281" s="212"/>
      <c r="Z281" s="212"/>
      <c r="AA281" s="212"/>
      <c r="AB281" s="212"/>
      <c r="AC281" s="196"/>
      <c r="AD281" s="27"/>
      <c r="AE281" s="213"/>
      <c r="AF281" s="212">
        <f t="shared" si="46"/>
        <v>-2.4710943394801177E-4</v>
      </c>
      <c r="AG281" s="212"/>
      <c r="AH281" s="212"/>
      <c r="AI281" s="212"/>
      <c r="AJ281" s="212"/>
      <c r="AK281" s="212"/>
      <c r="AL281" s="212"/>
      <c r="AM281" s="212"/>
      <c r="AN281" s="212"/>
      <c r="AO281" s="212"/>
      <c r="AP281" s="196"/>
      <c r="AQ281" s="196"/>
      <c r="AR281" s="211"/>
      <c r="AS281" s="212">
        <f t="shared" si="38"/>
        <v>-6.4004836745823468E-6</v>
      </c>
      <c r="AT281" s="212">
        <f>[1]!LIM(AT280+Mode*r0*((1+IntegrationStep/2/Ti+Td/IntegrationStep)*AS281-(1-IntegrationStep/2/Ti+2*Td/IntegrationStep)*AS280+Td/IntegrationStep*AS279))</f>
        <v>0.4030432102338663</v>
      </c>
      <c r="AU281" s="212">
        <f t="shared" si="39"/>
        <v>40.794124671602574</v>
      </c>
      <c r="AW281" s="58"/>
      <c r="AX281" s="58"/>
      <c r="AY281" s="58"/>
      <c r="AZ281" s="58"/>
    </row>
    <row r="282" spans="1:52" s="185" customFormat="1" ht="15" customHeight="1" x14ac:dyDescent="0.25">
      <c r="A282" s="200"/>
      <c r="B282" s="211"/>
      <c r="C282" s="212">
        <f t="shared" si="40"/>
        <v>27.100000000000115</v>
      </c>
      <c r="D282" s="231">
        <f>15+[1]!STEPLOAD(5)</f>
        <v>20</v>
      </c>
      <c r="E282" s="212">
        <f t="shared" si="42"/>
        <v>40.79474000902664</v>
      </c>
      <c r="F282" s="212">
        <f t="shared" si="43"/>
        <v>0.5</v>
      </c>
      <c r="G282" s="212">
        <f>5</f>
        <v>5</v>
      </c>
      <c r="H282" s="212">
        <f t="shared" si="41"/>
        <v>48.365347563241933</v>
      </c>
      <c r="I282" s="212">
        <f t="shared" si="44"/>
        <v>0.9</v>
      </c>
      <c r="J282" s="212">
        <f>1</f>
        <v>1</v>
      </c>
      <c r="K282" s="212">
        <f t="shared" si="45"/>
        <v>4.1870000000000003</v>
      </c>
      <c r="L282" s="212"/>
      <c r="M282" s="212"/>
      <c r="N282" s="212"/>
      <c r="O282" s="212"/>
      <c r="P282" s="212"/>
      <c r="Q282" s="212"/>
      <c r="R282" s="212"/>
      <c r="S282" s="212"/>
      <c r="T282" s="212"/>
      <c r="U282" s="212"/>
      <c r="V282" s="212"/>
      <c r="W282" s="212"/>
      <c r="X282" s="212"/>
      <c r="Y282" s="212"/>
      <c r="Z282" s="212"/>
      <c r="AA282" s="212"/>
      <c r="AB282" s="212"/>
      <c r="AC282" s="196"/>
      <c r="AD282" s="27"/>
      <c r="AE282" s="213"/>
      <c r="AF282" s="212">
        <f t="shared" si="46"/>
        <v>-2.3765951657672701E-4</v>
      </c>
      <c r="AG282" s="212"/>
      <c r="AH282" s="212"/>
      <c r="AI282" s="212"/>
      <c r="AJ282" s="212"/>
      <c r="AK282" s="212"/>
      <c r="AL282" s="212"/>
      <c r="AM282" s="212"/>
      <c r="AN282" s="212"/>
      <c r="AO282" s="212"/>
      <c r="AP282" s="196"/>
      <c r="AQ282" s="196"/>
      <c r="AR282" s="211"/>
      <c r="AS282" s="212">
        <f t="shared" si="38"/>
        <v>-6.1533742406538747E-6</v>
      </c>
      <c r="AT282" s="212">
        <f>[1]!LIM(AT281+Mode*r0*((1+IntegrationStep/2/Ti+Td/IntegrationStep)*AS282-(1-IntegrationStep/2/Ti+2*Td/IntegrationStep)*AS281+Td/IntegrationStep*AS280))</f>
        <v>0.40304456302701613</v>
      </c>
      <c r="AU282" s="212">
        <f t="shared" si="39"/>
        <v>40.794124671602574</v>
      </c>
      <c r="AW282" s="58"/>
      <c r="AX282" s="58"/>
      <c r="AY282" s="58"/>
      <c r="AZ282" s="58"/>
    </row>
    <row r="283" spans="1:52" s="185" customFormat="1" ht="15" customHeight="1" x14ac:dyDescent="0.25">
      <c r="A283" s="200"/>
      <c r="B283" s="211"/>
      <c r="C283" s="212">
        <f t="shared" si="40"/>
        <v>27.200000000000117</v>
      </c>
      <c r="D283" s="231">
        <f>15+[1]!STEPLOAD(5)</f>
        <v>20</v>
      </c>
      <c r="E283" s="212">
        <f t="shared" si="42"/>
        <v>40.79471624307498</v>
      </c>
      <c r="F283" s="212">
        <f t="shared" si="43"/>
        <v>0.5</v>
      </c>
      <c r="G283" s="212">
        <f>5</f>
        <v>5</v>
      </c>
      <c r="H283" s="212">
        <f t="shared" si="41"/>
        <v>48.365503795870112</v>
      </c>
      <c r="I283" s="212">
        <f t="shared" si="44"/>
        <v>0.9</v>
      </c>
      <c r="J283" s="212">
        <f>1</f>
        <v>1</v>
      </c>
      <c r="K283" s="212">
        <f t="shared" si="45"/>
        <v>4.1870000000000003</v>
      </c>
      <c r="L283" s="212"/>
      <c r="M283" s="212"/>
      <c r="N283" s="212"/>
      <c r="O283" s="212"/>
      <c r="P283" s="212"/>
      <c r="Q283" s="212"/>
      <c r="R283" s="212"/>
      <c r="S283" s="212"/>
      <c r="T283" s="212"/>
      <c r="U283" s="212"/>
      <c r="V283" s="212"/>
      <c r="W283" s="212"/>
      <c r="X283" s="212"/>
      <c r="Y283" s="212"/>
      <c r="Z283" s="212"/>
      <c r="AA283" s="212"/>
      <c r="AB283" s="212"/>
      <c r="AC283" s="196"/>
      <c r="AD283" s="27"/>
      <c r="AE283" s="213"/>
      <c r="AF283" s="212">
        <f t="shared" si="46"/>
        <v>-2.2856644826241279E-4</v>
      </c>
      <c r="AG283" s="212"/>
      <c r="AH283" s="212"/>
      <c r="AI283" s="212"/>
      <c r="AJ283" s="212"/>
      <c r="AK283" s="212"/>
      <c r="AL283" s="212"/>
      <c r="AM283" s="212"/>
      <c r="AN283" s="212"/>
      <c r="AO283" s="212"/>
      <c r="AP283" s="196"/>
      <c r="AQ283" s="196"/>
      <c r="AR283" s="211"/>
      <c r="AS283" s="212">
        <f t="shared" si="38"/>
        <v>-5.9157147240540555E-6</v>
      </c>
      <c r="AT283" s="212">
        <f>[1]!LIM(AT282+Mode*r0*((1+IntegrationStep/2/Ti+Td/IntegrationStep)*AS283-(1-IntegrationStep/2/Ti+2*Td/IntegrationStep)*AS282+Td/IntegrationStep*AS281))</f>
        <v>0.40304586496558426</v>
      </c>
      <c r="AU283" s="212">
        <f t="shared" si="39"/>
        <v>40.794124671602574</v>
      </c>
      <c r="AW283" s="58"/>
      <c r="AX283" s="58"/>
      <c r="AY283" s="58"/>
      <c r="AZ283" s="58"/>
    </row>
    <row r="284" spans="1:52" s="185" customFormat="1" ht="15" customHeight="1" x14ac:dyDescent="0.25">
      <c r="A284" s="200"/>
      <c r="B284" s="211"/>
      <c r="C284" s="212">
        <f t="shared" si="40"/>
        <v>27.300000000000118</v>
      </c>
      <c r="D284" s="231">
        <f>15+[1]!STEPLOAD(5)</f>
        <v>20</v>
      </c>
      <c r="E284" s="212">
        <f t="shared" si="42"/>
        <v>40.794693386430154</v>
      </c>
      <c r="F284" s="212">
        <f t="shared" si="43"/>
        <v>0.5</v>
      </c>
      <c r="G284" s="212">
        <f>5</f>
        <v>5</v>
      </c>
      <c r="H284" s="212">
        <f t="shared" si="41"/>
        <v>48.365654151059474</v>
      </c>
      <c r="I284" s="212">
        <f t="shared" si="44"/>
        <v>0.9</v>
      </c>
      <c r="J284" s="212">
        <f>1</f>
        <v>1</v>
      </c>
      <c r="K284" s="212">
        <f t="shared" si="45"/>
        <v>4.1870000000000003</v>
      </c>
      <c r="L284" s="212"/>
      <c r="M284" s="212"/>
      <c r="N284" s="212"/>
      <c r="O284" s="212"/>
      <c r="P284" s="212"/>
      <c r="Q284" s="212"/>
      <c r="R284" s="212"/>
      <c r="S284" s="212"/>
      <c r="T284" s="212"/>
      <c r="U284" s="212"/>
      <c r="V284" s="212"/>
      <c r="W284" s="212"/>
      <c r="X284" s="212"/>
      <c r="Y284" s="212"/>
      <c r="Z284" s="212"/>
      <c r="AA284" s="212"/>
      <c r="AB284" s="212"/>
      <c r="AC284" s="196"/>
      <c r="AD284" s="27"/>
      <c r="AE284" s="213"/>
      <c r="AF284" s="212">
        <f t="shared" si="46"/>
        <v>-2.1981698294748497E-4</v>
      </c>
      <c r="AG284" s="212"/>
      <c r="AH284" s="212"/>
      <c r="AI284" s="212"/>
      <c r="AJ284" s="212"/>
      <c r="AK284" s="212"/>
      <c r="AL284" s="212"/>
      <c r="AM284" s="212"/>
      <c r="AN284" s="212"/>
      <c r="AO284" s="212"/>
      <c r="AP284" s="196"/>
      <c r="AQ284" s="196"/>
      <c r="AR284" s="211"/>
      <c r="AS284" s="212">
        <f t="shared" si="38"/>
        <v>-5.6871482757969716E-6</v>
      </c>
      <c r="AT284" s="212">
        <f>[1]!LIM(AT283+Mode*r0*((1+IntegrationStep/2/Ti+Td/IntegrationStep)*AS284-(1-IntegrationStep/2/Ti+2*Td/IntegrationStep)*AS283+Td/IntegrationStep*AS282))</f>
        <v>0.40304711792549563</v>
      </c>
      <c r="AU284" s="212">
        <f t="shared" si="39"/>
        <v>40.794124671602574</v>
      </c>
      <c r="AW284" s="58"/>
      <c r="AX284" s="58"/>
      <c r="AY284" s="58"/>
      <c r="AZ284" s="58"/>
    </row>
    <row r="285" spans="1:52" s="185" customFormat="1" ht="15" customHeight="1" x14ac:dyDescent="0.25">
      <c r="A285" s="200"/>
      <c r="B285" s="211"/>
      <c r="C285" s="212">
        <f t="shared" si="40"/>
        <v>27.400000000000119</v>
      </c>
      <c r="D285" s="231">
        <f>15+[1]!STEPLOAD(5)</f>
        <v>20</v>
      </c>
      <c r="E285" s="212">
        <f t="shared" si="42"/>
        <v>40.794671404731858</v>
      </c>
      <c r="F285" s="212">
        <f t="shared" si="43"/>
        <v>0.5</v>
      </c>
      <c r="G285" s="212">
        <f>5</f>
        <v>5</v>
      </c>
      <c r="H285" s="212">
        <f t="shared" si="41"/>
        <v>48.365798845838512</v>
      </c>
      <c r="I285" s="212">
        <f t="shared" si="44"/>
        <v>0.9</v>
      </c>
      <c r="J285" s="212">
        <f>1</f>
        <v>1</v>
      </c>
      <c r="K285" s="212">
        <f t="shared" si="45"/>
        <v>4.1870000000000003</v>
      </c>
      <c r="L285" s="212"/>
      <c r="M285" s="212"/>
      <c r="N285" s="212"/>
      <c r="O285" s="212"/>
      <c r="P285" s="212"/>
      <c r="Q285" s="212"/>
      <c r="R285" s="212"/>
      <c r="S285" s="212"/>
      <c r="T285" s="212"/>
      <c r="U285" s="212"/>
      <c r="V285" s="212"/>
      <c r="W285" s="212"/>
      <c r="X285" s="212"/>
      <c r="Y285" s="212"/>
      <c r="Z285" s="212"/>
      <c r="AA285" s="212"/>
      <c r="AB285" s="212"/>
      <c r="AC285" s="196"/>
      <c r="AD285" s="27"/>
      <c r="AE285" s="213"/>
      <c r="AF285" s="212">
        <f t="shared" si="46"/>
        <v>-2.1139835450112443E-4</v>
      </c>
      <c r="AG285" s="212"/>
      <c r="AH285" s="212"/>
      <c r="AI285" s="212"/>
      <c r="AJ285" s="212"/>
      <c r="AK285" s="212"/>
      <c r="AL285" s="212"/>
      <c r="AM285" s="212"/>
      <c r="AN285" s="212"/>
      <c r="AO285" s="212"/>
      <c r="AP285" s="196"/>
      <c r="AQ285" s="196"/>
      <c r="AR285" s="211"/>
      <c r="AS285" s="212">
        <f t="shared" si="38"/>
        <v>-5.4673312928343873E-6</v>
      </c>
      <c r="AT285" s="212">
        <f>[1]!LIM(AT284+Mode*r0*((1+IntegrationStep/2/Ti+Td/IntegrationStep)*AS285-(1-IntegrationStep/2/Ti+2*Td/IntegrationStep)*AS284+Td/IntegrationStep*AS283))</f>
        <v>0.40304832371532096</v>
      </c>
      <c r="AU285" s="212">
        <f t="shared" si="39"/>
        <v>40.794124671602574</v>
      </c>
      <c r="AW285" s="58"/>
      <c r="AX285" s="58"/>
      <c r="AY285" s="58"/>
      <c r="AZ285" s="58"/>
    </row>
    <row r="286" spans="1:52" s="185" customFormat="1" ht="15" customHeight="1" x14ac:dyDescent="0.25">
      <c r="A286" s="200"/>
      <c r="B286" s="211"/>
      <c r="C286" s="212">
        <f t="shared" si="40"/>
        <v>27.500000000000121</v>
      </c>
      <c r="D286" s="231">
        <f>15+[1]!STEPLOAD(5)</f>
        <v>20</v>
      </c>
      <c r="E286" s="212">
        <f t="shared" si="42"/>
        <v>40.794650264896411</v>
      </c>
      <c r="F286" s="212">
        <f t="shared" si="43"/>
        <v>0.5</v>
      </c>
      <c r="G286" s="212">
        <f>5</f>
        <v>5</v>
      </c>
      <c r="H286" s="212">
        <f t="shared" si="41"/>
        <v>48.365938089431353</v>
      </c>
      <c r="I286" s="212">
        <f t="shared" si="44"/>
        <v>0.9</v>
      </c>
      <c r="J286" s="212">
        <f>1</f>
        <v>1</v>
      </c>
      <c r="K286" s="212">
        <f t="shared" si="45"/>
        <v>4.1870000000000003</v>
      </c>
      <c r="L286" s="212"/>
      <c r="M286" s="212"/>
      <c r="N286" s="212"/>
      <c r="O286" s="212"/>
      <c r="P286" s="212"/>
      <c r="Q286" s="212"/>
      <c r="R286" s="212"/>
      <c r="S286" s="212"/>
      <c r="T286" s="212"/>
      <c r="U286" s="212"/>
      <c r="V286" s="212"/>
      <c r="W286" s="212"/>
      <c r="X286" s="212"/>
      <c r="Y286" s="212"/>
      <c r="Z286" s="212"/>
      <c r="AA286" s="212"/>
      <c r="AB286" s="212"/>
      <c r="AC286" s="196"/>
      <c r="AD286" s="27"/>
      <c r="AE286" s="213"/>
      <c r="AF286" s="212">
        <f t="shared" si="46"/>
        <v>-2.0329825996778794E-4</v>
      </c>
      <c r="AG286" s="212"/>
      <c r="AH286" s="212"/>
      <c r="AI286" s="212"/>
      <c r="AJ286" s="212"/>
      <c r="AK286" s="212"/>
      <c r="AL286" s="212"/>
      <c r="AM286" s="212"/>
      <c r="AN286" s="212"/>
      <c r="AO286" s="212"/>
      <c r="AP286" s="196"/>
      <c r="AQ286" s="196"/>
      <c r="AR286" s="211"/>
      <c r="AS286" s="212">
        <f t="shared" si="38"/>
        <v>-5.2559329383683465E-6</v>
      </c>
      <c r="AT286" s="212">
        <f>[1]!LIM(AT285+Mode*r0*((1+IntegrationStep/2/Ti+Td/IntegrationStep)*AS286-(1-IntegrationStep/2/Ti+2*Td/IntegrationStep)*AS285+Td/IntegrationStep*AS284))</f>
        <v>0.40304948407859459</v>
      </c>
      <c r="AU286" s="212">
        <f t="shared" si="39"/>
        <v>40.794124671602574</v>
      </c>
      <c r="AW286" s="58"/>
      <c r="AX286" s="58"/>
      <c r="AY286" s="58"/>
      <c r="AZ286" s="58"/>
    </row>
    <row r="287" spans="1:52" s="185" customFormat="1" ht="15" customHeight="1" x14ac:dyDescent="0.25">
      <c r="A287" s="200"/>
      <c r="B287" s="211"/>
      <c r="C287" s="212">
        <f t="shared" si="40"/>
        <v>27.600000000000122</v>
      </c>
      <c r="D287" s="231">
        <f>15+[1]!STEPLOAD(5)</f>
        <v>20</v>
      </c>
      <c r="E287" s="212">
        <f t="shared" si="42"/>
        <v>40.794629935070418</v>
      </c>
      <c r="F287" s="212">
        <f t="shared" si="43"/>
        <v>0.5</v>
      </c>
      <c r="G287" s="212">
        <f>5</f>
        <v>5</v>
      </c>
      <c r="H287" s="212">
        <f t="shared" si="41"/>
        <v>48.366072083527847</v>
      </c>
      <c r="I287" s="212">
        <f t="shared" si="44"/>
        <v>0.9</v>
      </c>
      <c r="J287" s="212">
        <f>1</f>
        <v>1</v>
      </c>
      <c r="K287" s="212">
        <f t="shared" si="45"/>
        <v>4.1870000000000003</v>
      </c>
      <c r="L287" s="212"/>
      <c r="M287" s="212"/>
      <c r="N287" s="212"/>
      <c r="O287" s="212"/>
      <c r="P287" s="212"/>
      <c r="Q287" s="212"/>
      <c r="R287" s="212"/>
      <c r="S287" s="212"/>
      <c r="T287" s="212"/>
      <c r="U287" s="212"/>
      <c r="V287" s="212"/>
      <c r="W287" s="212"/>
      <c r="X287" s="212"/>
      <c r="Y287" s="212"/>
      <c r="Z287" s="212"/>
      <c r="AA287" s="212"/>
      <c r="AB287" s="212"/>
      <c r="AC287" s="196"/>
      <c r="AD287" s="27"/>
      <c r="AE287" s="213"/>
      <c r="AF287" s="212">
        <f t="shared" si="46"/>
        <v>-1.9550484331798401E-4</v>
      </c>
      <c r="AG287" s="212"/>
      <c r="AH287" s="212"/>
      <c r="AI287" s="212"/>
      <c r="AJ287" s="212"/>
      <c r="AK287" s="212"/>
      <c r="AL287" s="212"/>
      <c r="AM287" s="212"/>
      <c r="AN287" s="212"/>
      <c r="AO287" s="212"/>
      <c r="AP287" s="196"/>
      <c r="AQ287" s="196"/>
      <c r="AR287" s="211"/>
      <c r="AS287" s="212">
        <f t="shared" si="38"/>
        <v>-5.0526346784351974E-6</v>
      </c>
      <c r="AT287" s="212">
        <f>[1]!LIM(AT286+Mode*r0*((1+IntegrationStep/2/Ti+Td/IntegrationStep)*AS287-(1-IntegrationStep/2/Ti+2*Td/IntegrationStep)*AS286+Td/IntegrationStep*AS285))</f>
        <v>0.40305060069606541</v>
      </c>
      <c r="AU287" s="212">
        <f t="shared" si="39"/>
        <v>40.794124671602574</v>
      </c>
      <c r="AW287" s="58"/>
      <c r="AX287" s="58"/>
      <c r="AY287" s="58"/>
      <c r="AZ287" s="58"/>
    </row>
    <row r="288" spans="1:52" s="185" customFormat="1" ht="15" customHeight="1" x14ac:dyDescent="0.25">
      <c r="A288" s="200"/>
      <c r="B288" s="211"/>
      <c r="C288" s="212">
        <f t="shared" si="40"/>
        <v>27.700000000000124</v>
      </c>
      <c r="D288" s="231">
        <f>15+[1]!STEPLOAD(5)</f>
        <v>20</v>
      </c>
      <c r="E288" s="212">
        <f t="shared" si="42"/>
        <v>40.794610384586086</v>
      </c>
      <c r="F288" s="212">
        <f t="shared" si="43"/>
        <v>0.5</v>
      </c>
      <c r="G288" s="212">
        <f>5</f>
        <v>5</v>
      </c>
      <c r="H288" s="212">
        <f t="shared" si="41"/>
        <v>48.366201022544267</v>
      </c>
      <c r="I288" s="212">
        <f t="shared" si="44"/>
        <v>0.9</v>
      </c>
      <c r="J288" s="212">
        <f>1</f>
        <v>1</v>
      </c>
      <c r="K288" s="212">
        <f t="shared" si="45"/>
        <v>4.1870000000000003</v>
      </c>
      <c r="L288" s="212"/>
      <c r="M288" s="212"/>
      <c r="N288" s="212"/>
      <c r="O288" s="212"/>
      <c r="P288" s="212"/>
      <c r="Q288" s="212"/>
      <c r="R288" s="212"/>
      <c r="S288" s="212"/>
      <c r="T288" s="212"/>
      <c r="U288" s="212"/>
      <c r="V288" s="212"/>
      <c r="W288" s="212"/>
      <c r="X288" s="212"/>
      <c r="Y288" s="212"/>
      <c r="Z288" s="212"/>
      <c r="AA288" s="212"/>
      <c r="AB288" s="212"/>
      <c r="AC288" s="196"/>
      <c r="AD288" s="27"/>
      <c r="AE288" s="213"/>
      <c r="AF288" s="212">
        <f t="shared" si="46"/>
        <v>-1.8800667977725283E-4</v>
      </c>
      <c r="AG288" s="212"/>
      <c r="AH288" s="212"/>
      <c r="AI288" s="212"/>
      <c r="AJ288" s="212"/>
      <c r="AK288" s="212"/>
      <c r="AL288" s="212"/>
      <c r="AM288" s="212"/>
      <c r="AN288" s="212"/>
      <c r="AO288" s="212"/>
      <c r="AP288" s="196"/>
      <c r="AQ288" s="196"/>
      <c r="AR288" s="211"/>
      <c r="AS288" s="212">
        <f t="shared" si="38"/>
        <v>-4.8571298351163251E-6</v>
      </c>
      <c r="AT288" s="212">
        <f>[1]!LIM(AT287+Mode*r0*((1+IntegrationStep/2/Ti+Td/IntegrationStep)*AS288-(1-IntegrationStep/2/Ti+2*Td/IntegrationStep)*AS287+Td/IntegrationStep*AS286))</f>
        <v>0.40305167518786889</v>
      </c>
      <c r="AU288" s="212">
        <f t="shared" si="39"/>
        <v>40.794124671602574</v>
      </c>
      <c r="AW288" s="58"/>
      <c r="AX288" s="58"/>
      <c r="AY288" s="58"/>
      <c r="AZ288" s="58"/>
    </row>
    <row r="289" spans="1:52" s="185" customFormat="1" ht="15" customHeight="1" x14ac:dyDescent="0.25">
      <c r="A289" s="200"/>
      <c r="B289" s="211"/>
      <c r="C289" s="212">
        <f t="shared" si="40"/>
        <v>27.800000000000125</v>
      </c>
      <c r="D289" s="231">
        <f>15+[1]!STEPLOAD(5)</f>
        <v>20</v>
      </c>
      <c r="E289" s="212">
        <f t="shared" si="42"/>
        <v>40.794591583918105</v>
      </c>
      <c r="F289" s="212">
        <f t="shared" si="43"/>
        <v>0.5</v>
      </c>
      <c r="G289" s="212">
        <f>5</f>
        <v>5</v>
      </c>
      <c r="H289" s="212">
        <f t="shared" si="41"/>
        <v>48.366325093875638</v>
      </c>
      <c r="I289" s="212">
        <f t="shared" si="44"/>
        <v>0.9</v>
      </c>
      <c r="J289" s="212">
        <f>1</f>
        <v>1</v>
      </c>
      <c r="K289" s="212">
        <f t="shared" si="45"/>
        <v>4.1870000000000003</v>
      </c>
      <c r="L289" s="212"/>
      <c r="M289" s="212"/>
      <c r="N289" s="212"/>
      <c r="O289" s="212"/>
      <c r="P289" s="212"/>
      <c r="Q289" s="212"/>
      <c r="R289" s="212"/>
      <c r="S289" s="212"/>
      <c r="T289" s="212"/>
      <c r="U289" s="212"/>
      <c r="V289" s="212"/>
      <c r="W289" s="212"/>
      <c r="X289" s="212"/>
      <c r="Y289" s="212"/>
      <c r="Z289" s="212"/>
      <c r="AA289" s="212"/>
      <c r="AB289" s="212"/>
      <c r="AC289" s="196"/>
      <c r="AD289" s="27"/>
      <c r="AE289" s="213"/>
      <c r="AF289" s="212">
        <f t="shared" si="46"/>
        <v>-1.8079276066362837E-4</v>
      </c>
      <c r="AG289" s="212"/>
      <c r="AH289" s="212"/>
      <c r="AI289" s="212"/>
      <c r="AJ289" s="212"/>
      <c r="AK289" s="212"/>
      <c r="AL289" s="212"/>
      <c r="AM289" s="212"/>
      <c r="AN289" s="212"/>
      <c r="AO289" s="212"/>
      <c r="AP289" s="196"/>
      <c r="AQ289" s="196"/>
      <c r="AR289" s="211"/>
      <c r="AS289" s="212">
        <f t="shared" si="38"/>
        <v>-4.6691231553097626E-6</v>
      </c>
      <c r="AT289" s="212">
        <f>[1]!LIM(AT288+Mode*r0*((1+IntegrationStep/2/Ti+Td/IntegrationStep)*AS289-(1-IntegrationStep/2/Ti+2*Td/IntegrationStep)*AS288+Td/IntegrationStep*AS287))</f>
        <v>0.40305270911563029</v>
      </c>
      <c r="AU289" s="212">
        <f t="shared" si="39"/>
        <v>40.794124671602574</v>
      </c>
      <c r="AW289" s="58"/>
      <c r="AX289" s="58"/>
      <c r="AY289" s="58"/>
      <c r="AZ289" s="58"/>
    </row>
    <row r="290" spans="1:52" s="185" customFormat="1" ht="15" customHeight="1" x14ac:dyDescent="0.25">
      <c r="A290" s="200"/>
      <c r="B290" s="211"/>
      <c r="C290" s="212">
        <f t="shared" si="40"/>
        <v>27.900000000000126</v>
      </c>
      <c r="D290" s="231">
        <f>15+[1]!STEPLOAD(5)</f>
        <v>20</v>
      </c>
      <c r="E290" s="212">
        <f t="shared" si="42"/>
        <v>40.794573504642038</v>
      </c>
      <c r="F290" s="212">
        <f t="shared" si="43"/>
        <v>0.5</v>
      </c>
      <c r="G290" s="212">
        <f>5</f>
        <v>5</v>
      </c>
      <c r="H290" s="212">
        <f t="shared" si="41"/>
        <v>48.366444478139975</v>
      </c>
      <c r="I290" s="212">
        <f t="shared" si="44"/>
        <v>0.9</v>
      </c>
      <c r="J290" s="212">
        <f>1</f>
        <v>1</v>
      </c>
      <c r="K290" s="212">
        <f t="shared" si="45"/>
        <v>4.1870000000000003</v>
      </c>
      <c r="L290" s="212"/>
      <c r="M290" s="212"/>
      <c r="N290" s="212"/>
      <c r="O290" s="212"/>
      <c r="P290" s="212"/>
      <c r="Q290" s="212"/>
      <c r="R290" s="212"/>
      <c r="S290" s="212"/>
      <c r="T290" s="212"/>
      <c r="U290" s="212"/>
      <c r="V290" s="212"/>
      <c r="W290" s="212"/>
      <c r="X290" s="212"/>
      <c r="Y290" s="212"/>
      <c r="Z290" s="212"/>
      <c r="AA290" s="212"/>
      <c r="AB290" s="212"/>
      <c r="AC290" s="196"/>
      <c r="AD290" s="27"/>
      <c r="AE290" s="213"/>
      <c r="AF290" s="212">
        <f t="shared" si="46"/>
        <v>-1.7385247872647724E-4</v>
      </c>
      <c r="AG290" s="212"/>
      <c r="AH290" s="212"/>
      <c r="AI290" s="212"/>
      <c r="AJ290" s="212"/>
      <c r="AK290" s="212"/>
      <c r="AL290" s="212"/>
      <c r="AM290" s="212"/>
      <c r="AN290" s="212"/>
      <c r="AO290" s="212"/>
      <c r="AP290" s="196"/>
      <c r="AQ290" s="196"/>
      <c r="AR290" s="211"/>
      <c r="AS290" s="212">
        <f t="shared" si="38"/>
        <v>-4.4883303946363638E-6</v>
      </c>
      <c r="AT290" s="212">
        <f>[1]!LIM(AT289+Mode*r0*((1+IntegrationStep/2/Ti+Td/IntegrationStep)*AS290-(1-IntegrationStep/2/Ti+2*Td/IntegrationStep)*AS289+Td/IntegrationStep*AS288))</f>
        <v>0.4030537039844998</v>
      </c>
      <c r="AU290" s="212">
        <f t="shared" si="39"/>
        <v>40.794124671602574</v>
      </c>
      <c r="AW290" s="58"/>
      <c r="AX290" s="58"/>
      <c r="AY290" s="58"/>
      <c r="AZ290" s="58"/>
    </row>
    <row r="291" spans="1:52" s="185" customFormat="1" ht="15" customHeight="1" x14ac:dyDescent="0.25">
      <c r="A291" s="200"/>
      <c r="B291" s="211"/>
      <c r="C291" s="212">
        <f t="shared" si="40"/>
        <v>28.000000000000128</v>
      </c>
      <c r="D291" s="231">
        <f>15+[1]!STEPLOAD(5)</f>
        <v>20</v>
      </c>
      <c r="E291" s="212">
        <f t="shared" si="42"/>
        <v>40.794556119394166</v>
      </c>
      <c r="F291" s="212">
        <f t="shared" si="43"/>
        <v>0.5</v>
      </c>
      <c r="G291" s="212">
        <f>5</f>
        <v>5</v>
      </c>
      <c r="H291" s="212">
        <f t="shared" si="41"/>
        <v>48.366559349414693</v>
      </c>
      <c r="I291" s="212">
        <f t="shared" si="44"/>
        <v>0.9</v>
      </c>
      <c r="J291" s="212">
        <f>1</f>
        <v>1</v>
      </c>
      <c r="K291" s="212">
        <f t="shared" si="45"/>
        <v>4.1870000000000003</v>
      </c>
      <c r="L291" s="212"/>
      <c r="M291" s="212"/>
      <c r="N291" s="212"/>
      <c r="O291" s="212"/>
      <c r="P291" s="212"/>
      <c r="Q291" s="212"/>
      <c r="R291" s="212"/>
      <c r="S291" s="212"/>
      <c r="T291" s="212"/>
      <c r="U291" s="212"/>
      <c r="V291" s="212"/>
      <c r="W291" s="212"/>
      <c r="X291" s="212"/>
      <c r="Y291" s="212"/>
      <c r="Z291" s="212"/>
      <c r="AA291" s="212"/>
      <c r="AB291" s="212"/>
      <c r="AC291" s="196"/>
      <c r="AD291" s="27"/>
      <c r="AE291" s="213"/>
      <c r="AF291" s="212">
        <f t="shared" si="46"/>
        <v>-1.6717561397028291E-4</v>
      </c>
      <c r="AG291" s="212"/>
      <c r="AH291" s="212"/>
      <c r="AI291" s="212"/>
      <c r="AJ291" s="212"/>
      <c r="AK291" s="212"/>
      <c r="AL291" s="212"/>
      <c r="AM291" s="212"/>
      <c r="AN291" s="212"/>
      <c r="AO291" s="212"/>
      <c r="AP291" s="196"/>
      <c r="AQ291" s="196"/>
      <c r="AR291" s="211"/>
      <c r="AS291" s="212">
        <f t="shared" si="38"/>
        <v>-4.3144779159121075E-6</v>
      </c>
      <c r="AT291" s="212">
        <f>[1]!LIM(AT290+Mode*r0*((1+IntegrationStep/2/Ti+Td/IntegrationStep)*AS291-(1-IntegrationStep/2/Ti+2*Td/IntegrationStep)*AS290+Td/IntegrationStep*AS289))</f>
        <v>0.40305466124512246</v>
      </c>
      <c r="AU291" s="212">
        <f t="shared" si="39"/>
        <v>40.794124671602574</v>
      </c>
      <c r="AW291" s="58"/>
      <c r="AX291" s="58"/>
      <c r="AY291" s="58"/>
      <c r="AZ291" s="58"/>
    </row>
    <row r="292" spans="1:52" s="185" customFormat="1" ht="15" customHeight="1" x14ac:dyDescent="0.25">
      <c r="A292" s="200"/>
      <c r="B292" s="211"/>
      <c r="C292" s="212">
        <f t="shared" si="40"/>
        <v>28.100000000000129</v>
      </c>
      <c r="D292" s="231">
        <f>15+[1]!STEPLOAD(5)</f>
        <v>20</v>
      </c>
      <c r="E292" s="212">
        <f t="shared" si="42"/>
        <v>40.794539401832772</v>
      </c>
      <c r="F292" s="212">
        <f t="shared" si="43"/>
        <v>0.5</v>
      </c>
      <c r="G292" s="212">
        <f>5</f>
        <v>5</v>
      </c>
      <c r="H292" s="212">
        <f t="shared" si="41"/>
        <v>48.366669875464879</v>
      </c>
      <c r="I292" s="212">
        <f t="shared" si="44"/>
        <v>0.9</v>
      </c>
      <c r="J292" s="212">
        <f>1</f>
        <v>1</v>
      </c>
      <c r="K292" s="212">
        <f t="shared" si="45"/>
        <v>4.1870000000000003</v>
      </c>
      <c r="L292" s="212"/>
      <c r="M292" s="212"/>
      <c r="N292" s="212"/>
      <c r="O292" s="212"/>
      <c r="P292" s="212"/>
      <c r="Q292" s="212"/>
      <c r="R292" s="212"/>
      <c r="S292" s="212"/>
      <c r="T292" s="212"/>
      <c r="U292" s="212"/>
      <c r="V292" s="212"/>
      <c r="W292" s="212"/>
      <c r="X292" s="212"/>
      <c r="Y292" s="212"/>
      <c r="Z292" s="212"/>
      <c r="AA292" s="212"/>
      <c r="AB292" s="212"/>
      <c r="AC292" s="196"/>
      <c r="AD292" s="27"/>
      <c r="AE292" s="213"/>
      <c r="AF292" s="212">
        <f t="shared" si="46"/>
        <v>-1.6075231996781625E-4</v>
      </c>
      <c r="AG292" s="212"/>
      <c r="AH292" s="212"/>
      <c r="AI292" s="212"/>
      <c r="AJ292" s="212"/>
      <c r="AK292" s="212"/>
      <c r="AL292" s="212"/>
      <c r="AM292" s="212"/>
      <c r="AN292" s="212"/>
      <c r="AO292" s="212"/>
      <c r="AP292" s="196"/>
      <c r="AQ292" s="196"/>
      <c r="AR292" s="211"/>
      <c r="AS292" s="212">
        <f t="shared" si="38"/>
        <v>-4.1473023019733542E-6</v>
      </c>
      <c r="AT292" s="212">
        <f>[1]!LIM(AT291+Mode*r0*((1+IntegrationStep/2/Ti+Td/IntegrationStep)*AS292-(1-IntegrationStep/2/Ti+2*Td/IntegrationStep)*AS291+Td/IntegrationStep*AS290))</f>
        <v>0.40305558229554067</v>
      </c>
      <c r="AU292" s="212">
        <f t="shared" si="39"/>
        <v>40.794124671602574</v>
      </c>
      <c r="AW292" s="58"/>
      <c r="AX292" s="58"/>
      <c r="AY292" s="58"/>
      <c r="AZ292" s="58"/>
    </row>
    <row r="293" spans="1:52" s="185" customFormat="1" ht="15" customHeight="1" x14ac:dyDescent="0.25">
      <c r="A293" s="200"/>
      <c r="B293" s="211"/>
      <c r="C293" s="212">
        <f t="shared" si="40"/>
        <v>28.200000000000131</v>
      </c>
      <c r="D293" s="231">
        <f>15+[1]!STEPLOAD(5)</f>
        <v>20</v>
      </c>
      <c r="E293" s="212">
        <f t="shared" si="42"/>
        <v>40.794523326600775</v>
      </c>
      <c r="F293" s="212">
        <f t="shared" si="43"/>
        <v>0.5</v>
      </c>
      <c r="G293" s="212">
        <f>5</f>
        <v>5</v>
      </c>
      <c r="H293" s="212">
        <f t="shared" si="41"/>
        <v>48.366776217964443</v>
      </c>
      <c r="I293" s="212">
        <f t="shared" si="44"/>
        <v>0.9</v>
      </c>
      <c r="J293" s="212">
        <f>1</f>
        <v>1</v>
      </c>
      <c r="K293" s="212">
        <f t="shared" si="45"/>
        <v>4.1870000000000003</v>
      </c>
      <c r="L293" s="212"/>
      <c r="M293" s="212"/>
      <c r="N293" s="212"/>
      <c r="O293" s="212"/>
      <c r="P293" s="212"/>
      <c r="Q293" s="212"/>
      <c r="R293" s="212"/>
      <c r="S293" s="212"/>
      <c r="T293" s="212"/>
      <c r="U293" s="212"/>
      <c r="V293" s="212"/>
      <c r="W293" s="212"/>
      <c r="X293" s="212"/>
      <c r="Y293" s="212"/>
      <c r="Z293" s="212"/>
      <c r="AA293" s="212"/>
      <c r="AB293" s="212"/>
      <c r="AC293" s="196"/>
      <c r="AD293" s="27"/>
      <c r="AE293" s="213"/>
      <c r="AF293" s="212">
        <f t="shared" si="46"/>
        <v>-1.5457311061517487E-4</v>
      </c>
      <c r="AG293" s="212"/>
      <c r="AH293" s="212"/>
      <c r="AI293" s="212"/>
      <c r="AJ293" s="212"/>
      <c r="AK293" s="212"/>
      <c r="AL293" s="212"/>
      <c r="AM293" s="212"/>
      <c r="AN293" s="212"/>
      <c r="AO293" s="212"/>
      <c r="AP293" s="196"/>
      <c r="AQ293" s="196"/>
      <c r="AR293" s="211"/>
      <c r="AS293" s="212">
        <f t="shared" si="38"/>
        <v>-3.9865499820024294E-6</v>
      </c>
      <c r="AT293" s="212">
        <f>[1]!LIM(AT292+Mode*r0*((1+IntegrationStep/2/Ti+Td/IntegrationStep)*AS293-(1-IntegrationStep/2/Ti+2*Td/IntegrationStep)*AS292+Td/IntegrationStep*AS291))</f>
        <v>0.403056468483037</v>
      </c>
      <c r="AU293" s="212">
        <f t="shared" si="39"/>
        <v>40.794124671602574</v>
      </c>
      <c r="AW293" s="58"/>
      <c r="AX293" s="58"/>
      <c r="AY293" s="58"/>
      <c r="AZ293" s="58"/>
    </row>
    <row r="294" spans="1:52" s="185" customFormat="1" ht="15" customHeight="1" x14ac:dyDescent="0.25">
      <c r="A294" s="200"/>
      <c r="B294" s="211"/>
      <c r="C294" s="212">
        <f t="shared" si="40"/>
        <v>28.300000000000132</v>
      </c>
      <c r="D294" s="231">
        <f>15+[1]!STEPLOAD(5)</f>
        <v>20</v>
      </c>
      <c r="E294" s="212">
        <f t="shared" si="42"/>
        <v>40.79450786928971</v>
      </c>
      <c r="F294" s="212">
        <f t="shared" si="43"/>
        <v>0.5</v>
      </c>
      <c r="G294" s="212">
        <f>5</f>
        <v>5</v>
      </c>
      <c r="H294" s="212">
        <f t="shared" si="41"/>
        <v>48.366878532709407</v>
      </c>
      <c r="I294" s="212">
        <f t="shared" si="44"/>
        <v>0.9</v>
      </c>
      <c r="J294" s="212">
        <f>1</f>
        <v>1</v>
      </c>
      <c r="K294" s="212">
        <f t="shared" si="45"/>
        <v>4.1870000000000003</v>
      </c>
      <c r="L294" s="212"/>
      <c r="M294" s="212"/>
      <c r="N294" s="212"/>
      <c r="O294" s="212"/>
      <c r="P294" s="212"/>
      <c r="Q294" s="212"/>
      <c r="R294" s="212"/>
      <c r="S294" s="212"/>
      <c r="T294" s="212"/>
      <c r="U294" s="212"/>
      <c r="V294" s="212"/>
      <c r="W294" s="212"/>
      <c r="X294" s="212"/>
      <c r="Y294" s="212"/>
      <c r="Z294" s="212"/>
      <c r="AA294" s="212"/>
      <c r="AB294" s="212"/>
      <c r="AC294" s="196"/>
      <c r="AD294" s="27"/>
      <c r="AE294" s="213"/>
      <c r="AF294" s="212">
        <f t="shared" si="46"/>
        <v>-1.4862884736288606E-4</v>
      </c>
      <c r="AG294" s="212"/>
      <c r="AH294" s="212"/>
      <c r="AI294" s="212"/>
      <c r="AJ294" s="212"/>
      <c r="AK294" s="212"/>
      <c r="AL294" s="212"/>
      <c r="AM294" s="212"/>
      <c r="AN294" s="212"/>
      <c r="AO294" s="212"/>
      <c r="AP294" s="196"/>
      <c r="AQ294" s="196"/>
      <c r="AR294" s="211"/>
      <c r="AS294" s="212">
        <f t="shared" si="38"/>
        <v>-3.8319768713535037E-6</v>
      </c>
      <c r="AT294" s="212">
        <f>[1]!LIM(AT293+Mode*r0*((1+IntegrationStep/2/Ti+Td/IntegrationStep)*AS294-(1-IntegrationStep/2/Ti+2*Td/IntegrationStep)*AS293+Td/IntegrationStep*AS292))</f>
        <v>0.40305732110591175</v>
      </c>
      <c r="AU294" s="212">
        <f t="shared" si="39"/>
        <v>40.794124671602574</v>
      </c>
      <c r="AW294" s="58"/>
      <c r="AX294" s="58"/>
      <c r="AY294" s="58"/>
      <c r="AZ294" s="58"/>
    </row>
    <row r="295" spans="1:52" s="185" customFormat="1" ht="15" customHeight="1" x14ac:dyDescent="0.25">
      <c r="A295" s="200"/>
      <c r="B295" s="211"/>
      <c r="C295" s="212">
        <f t="shared" si="40"/>
        <v>28.400000000000134</v>
      </c>
      <c r="D295" s="231">
        <f>15+[1]!STEPLOAD(5)</f>
        <v>20</v>
      </c>
      <c r="E295" s="212">
        <f t="shared" si="42"/>
        <v>40.794493006404977</v>
      </c>
      <c r="F295" s="212">
        <f t="shared" si="43"/>
        <v>0.5</v>
      </c>
      <c r="G295" s="212">
        <f>5</f>
        <v>5</v>
      </c>
      <c r="H295" s="212">
        <f t="shared" si="41"/>
        <v>48.366976969824456</v>
      </c>
      <c r="I295" s="212">
        <f t="shared" si="44"/>
        <v>0.9</v>
      </c>
      <c r="J295" s="212">
        <f>1</f>
        <v>1</v>
      </c>
      <c r="K295" s="212">
        <f t="shared" si="45"/>
        <v>4.1870000000000003</v>
      </c>
      <c r="L295" s="212"/>
      <c r="M295" s="212"/>
      <c r="N295" s="212"/>
      <c r="O295" s="212"/>
      <c r="P295" s="212"/>
      <c r="Q295" s="212"/>
      <c r="R295" s="212"/>
      <c r="S295" s="212"/>
      <c r="T295" s="212"/>
      <c r="U295" s="212"/>
      <c r="V295" s="212"/>
      <c r="W295" s="212"/>
      <c r="X295" s="212"/>
      <c r="Y295" s="212"/>
      <c r="Z295" s="212"/>
      <c r="AA295" s="212"/>
      <c r="AB295" s="212"/>
      <c r="AC295" s="196"/>
      <c r="AD295" s="27"/>
      <c r="AE295" s="213"/>
      <c r="AF295" s="212">
        <f t="shared" si="46"/>
        <v>-1.4291072686001272E-4</v>
      </c>
      <c r="AG295" s="212"/>
      <c r="AH295" s="212"/>
      <c r="AI295" s="212"/>
      <c r="AJ295" s="212"/>
      <c r="AK295" s="212"/>
      <c r="AL295" s="212"/>
      <c r="AM295" s="212"/>
      <c r="AN295" s="212"/>
      <c r="AO295" s="212"/>
      <c r="AP295" s="196"/>
      <c r="AQ295" s="196"/>
      <c r="AR295" s="211"/>
      <c r="AS295" s="212">
        <f t="shared" si="38"/>
        <v>-3.683348024026145E-6</v>
      </c>
      <c r="AT295" s="212">
        <f>[1]!LIM(AT294+Mode*r0*((1+IntegrationStep/2/Ti+Td/IntegrationStep)*AS295-(1-IntegrationStep/2/Ti+2*Td/IntegrationStep)*AS294+Td/IntegrationStep*AS293))</f>
        <v>0.4030581414152038</v>
      </c>
      <c r="AU295" s="212">
        <f t="shared" si="39"/>
        <v>40.794124671602574</v>
      </c>
      <c r="AW295" s="58"/>
      <c r="AX295" s="58"/>
      <c r="AY295" s="58"/>
      <c r="AZ295" s="58"/>
    </row>
    <row r="296" spans="1:52" s="185" customFormat="1" ht="15" customHeight="1" x14ac:dyDescent="0.25">
      <c r="A296" s="200"/>
      <c r="B296" s="211"/>
      <c r="C296" s="212">
        <f t="shared" si="40"/>
        <v>28.500000000000135</v>
      </c>
      <c r="D296" s="231">
        <f>15+[1]!STEPLOAD(5)</f>
        <v>20</v>
      </c>
      <c r="E296" s="212">
        <f t="shared" si="42"/>
        <v>40.794478715332289</v>
      </c>
      <c r="F296" s="212">
        <f t="shared" si="43"/>
        <v>0.5</v>
      </c>
      <c r="G296" s="212">
        <f>5</f>
        <v>5</v>
      </c>
      <c r="H296" s="212">
        <f t="shared" si="41"/>
        <v>48.36707167396311</v>
      </c>
      <c r="I296" s="212">
        <f t="shared" si="44"/>
        <v>0.9</v>
      </c>
      <c r="J296" s="212">
        <f>1</f>
        <v>1</v>
      </c>
      <c r="K296" s="212">
        <f t="shared" si="45"/>
        <v>4.1870000000000003</v>
      </c>
      <c r="L296" s="212"/>
      <c r="M296" s="212"/>
      <c r="N296" s="212"/>
      <c r="O296" s="212"/>
      <c r="P296" s="212"/>
      <c r="Q296" s="212"/>
      <c r="R296" s="212"/>
      <c r="S296" s="212"/>
      <c r="T296" s="212"/>
      <c r="U296" s="212"/>
      <c r="V296" s="212"/>
      <c r="W296" s="212"/>
      <c r="X296" s="212"/>
      <c r="Y296" s="212"/>
      <c r="Z296" s="212"/>
      <c r="AA296" s="212"/>
      <c r="AB296" s="212"/>
      <c r="AC296" s="196"/>
      <c r="AD296" s="27"/>
      <c r="AE296" s="213"/>
      <c r="AF296" s="212">
        <f t="shared" si="46"/>
        <v>-1.3741026899261044E-4</v>
      </c>
      <c r="AG296" s="212"/>
      <c r="AH296" s="212"/>
      <c r="AI296" s="212"/>
      <c r="AJ296" s="212"/>
      <c r="AK296" s="212"/>
      <c r="AL296" s="212"/>
      <c r="AM296" s="212"/>
      <c r="AN296" s="212"/>
      <c r="AO296" s="212"/>
      <c r="AP296" s="196"/>
      <c r="AQ296" s="196"/>
      <c r="AR296" s="211"/>
      <c r="AS296" s="212">
        <f t="shared" si="38"/>
        <v>-3.5404372971470366E-6</v>
      </c>
      <c r="AT296" s="212">
        <f>[1]!LIM(AT295+Mode*r0*((1+IntegrationStep/2/Ti+Td/IntegrationStep)*AS296-(1-IntegrationStep/2/Ti+2*Td/IntegrationStep)*AS295+Td/IntegrationStep*AS294))</f>
        <v>0.40305893061635928</v>
      </c>
      <c r="AU296" s="212">
        <f t="shared" si="39"/>
        <v>40.794124671602574</v>
      </c>
      <c r="AW296" s="58"/>
      <c r="AX296" s="58"/>
      <c r="AY296" s="58"/>
      <c r="AZ296" s="58"/>
    </row>
    <row r="297" spans="1:52" s="185" customFormat="1" ht="15" customHeight="1" x14ac:dyDescent="0.25">
      <c r="A297" s="200"/>
      <c r="B297" s="211"/>
      <c r="C297" s="212">
        <f t="shared" si="40"/>
        <v>28.600000000000136</v>
      </c>
      <c r="D297" s="231">
        <f>15+[1]!STEPLOAD(5)</f>
        <v>20</v>
      </c>
      <c r="E297" s="212">
        <f t="shared" si="42"/>
        <v>40.794464974305392</v>
      </c>
      <c r="F297" s="212">
        <f t="shared" si="43"/>
        <v>0.5</v>
      </c>
      <c r="G297" s="212">
        <f>5</f>
        <v>5</v>
      </c>
      <c r="H297" s="212">
        <f t="shared" si="41"/>
        <v>48.367162784499946</v>
      </c>
      <c r="I297" s="212">
        <f t="shared" si="44"/>
        <v>0.9</v>
      </c>
      <c r="J297" s="212">
        <f>1</f>
        <v>1</v>
      </c>
      <c r="K297" s="212">
        <f t="shared" si="45"/>
        <v>4.1870000000000003</v>
      </c>
      <c r="L297" s="212"/>
      <c r="M297" s="212"/>
      <c r="N297" s="212"/>
      <c r="O297" s="212"/>
      <c r="P297" s="212"/>
      <c r="Q297" s="212"/>
      <c r="R297" s="212"/>
      <c r="S297" s="212"/>
      <c r="T297" s="212"/>
      <c r="U297" s="212"/>
      <c r="V297" s="212"/>
      <c r="W297" s="212"/>
      <c r="X297" s="212"/>
      <c r="Y297" s="212"/>
      <c r="Z297" s="212"/>
      <c r="AA297" s="212"/>
      <c r="AB297" s="212"/>
      <c r="AC297" s="196"/>
      <c r="AD297" s="27"/>
      <c r="AE297" s="213"/>
      <c r="AF297" s="212">
        <f t="shared" si="46"/>
        <v>-1.3211930539247518E-4</v>
      </c>
      <c r="AG297" s="212"/>
      <c r="AH297" s="212"/>
      <c r="AI297" s="212"/>
      <c r="AJ297" s="212"/>
      <c r="AK297" s="212"/>
      <c r="AL297" s="212"/>
      <c r="AM297" s="212"/>
      <c r="AN297" s="212"/>
      <c r="AO297" s="212"/>
      <c r="AP297" s="196"/>
      <c r="AQ297" s="196"/>
      <c r="AR297" s="211"/>
      <c r="AS297" s="212">
        <f t="shared" si="38"/>
        <v>-3.4030270281704134E-6</v>
      </c>
      <c r="AT297" s="212">
        <f>[1]!LIM(AT296+Mode*r0*((1+IntegrationStep/2/Ti+Td/IntegrationStep)*AS297-(1-IntegrationStep/2/Ti+2*Td/IntegrationStep)*AS296+Td/IntegrationStep*AS295))</f>
        <v>0.4030596898708329</v>
      </c>
      <c r="AU297" s="212">
        <f t="shared" si="39"/>
        <v>40.794124671602574</v>
      </c>
      <c r="AW297" s="58"/>
      <c r="AX297" s="58"/>
      <c r="AY297" s="58"/>
      <c r="AZ297" s="58"/>
    </row>
    <row r="298" spans="1:52" s="185" customFormat="1" ht="15" customHeight="1" x14ac:dyDescent="0.25">
      <c r="A298" s="200"/>
      <c r="B298" s="211"/>
      <c r="C298" s="212">
        <f t="shared" si="40"/>
        <v>28.700000000000138</v>
      </c>
      <c r="D298" s="231">
        <f>15+[1]!STEPLOAD(5)</f>
        <v>20</v>
      </c>
      <c r="E298" s="212">
        <f t="shared" si="42"/>
        <v>40.794451762374855</v>
      </c>
      <c r="F298" s="212">
        <f t="shared" si="43"/>
        <v>0.5</v>
      </c>
      <c r="G298" s="212">
        <f>5</f>
        <v>5</v>
      </c>
      <c r="H298" s="212">
        <f t="shared" si="41"/>
        <v>48.367250435717708</v>
      </c>
      <c r="I298" s="212">
        <f t="shared" si="44"/>
        <v>0.9</v>
      </c>
      <c r="J298" s="212">
        <f>1</f>
        <v>1</v>
      </c>
      <c r="K298" s="212">
        <f t="shared" si="45"/>
        <v>4.1870000000000003</v>
      </c>
      <c r="L298" s="212"/>
      <c r="M298" s="212"/>
      <c r="N298" s="212"/>
      <c r="O298" s="212"/>
      <c r="P298" s="212"/>
      <c r="Q298" s="212"/>
      <c r="R298" s="212"/>
      <c r="S298" s="212"/>
      <c r="T298" s="212"/>
      <c r="U298" s="212"/>
      <c r="V298" s="212"/>
      <c r="W298" s="212"/>
      <c r="X298" s="212"/>
      <c r="Y298" s="212"/>
      <c r="Z298" s="212"/>
      <c r="AA298" s="212"/>
      <c r="AB298" s="212"/>
      <c r="AC298" s="196"/>
      <c r="AD298" s="27"/>
      <c r="AE298" s="213"/>
      <c r="AF298" s="212">
        <f t="shared" si="46"/>
        <v>-1.2702996827451685E-4</v>
      </c>
      <c r="AG298" s="212"/>
      <c r="AH298" s="212"/>
      <c r="AI298" s="212"/>
      <c r="AJ298" s="212"/>
      <c r="AK298" s="212"/>
      <c r="AL298" s="212"/>
      <c r="AM298" s="212"/>
      <c r="AN298" s="212"/>
      <c r="AO298" s="212"/>
      <c r="AP298" s="196"/>
      <c r="AQ298" s="196"/>
      <c r="AR298" s="211"/>
      <c r="AS298" s="212">
        <f t="shared" si="38"/>
        <v>-3.2709077228076922E-6</v>
      </c>
      <c r="AT298" s="212">
        <f>[1]!LIM(AT297+Mode*r0*((1+IntegrationStep/2/Ti+Td/IntegrationStep)*AS298-(1-IntegrationStep/2/Ti+2*Td/IntegrationStep)*AS297+Td/IntegrationStep*AS296))</f>
        <v>0.40306042029764755</v>
      </c>
      <c r="AU298" s="212">
        <f t="shared" si="39"/>
        <v>40.794124671602574</v>
      </c>
      <c r="AW298" s="58"/>
      <c r="AX298" s="58"/>
      <c r="AY298" s="58"/>
      <c r="AZ298" s="58"/>
    </row>
    <row r="299" spans="1:52" s="185" customFormat="1" ht="15" customHeight="1" x14ac:dyDescent="0.25">
      <c r="A299" s="200"/>
      <c r="B299" s="211"/>
      <c r="C299" s="212">
        <f t="shared" si="40"/>
        <v>28.800000000000139</v>
      </c>
      <c r="D299" s="231">
        <f>15+[1]!STEPLOAD(5)</f>
        <v>20</v>
      </c>
      <c r="E299" s="212">
        <f t="shared" si="42"/>
        <v>40.794439059378028</v>
      </c>
      <c r="F299" s="212">
        <f t="shared" si="43"/>
        <v>0.5</v>
      </c>
      <c r="G299" s="212">
        <f>5</f>
        <v>5</v>
      </c>
      <c r="H299" s="212">
        <f t="shared" si="41"/>
        <v>48.367334756987354</v>
      </c>
      <c r="I299" s="212">
        <f t="shared" si="44"/>
        <v>0.9</v>
      </c>
      <c r="J299" s="212">
        <f>1</f>
        <v>1</v>
      </c>
      <c r="K299" s="212">
        <f t="shared" si="45"/>
        <v>4.1870000000000003</v>
      </c>
      <c r="L299" s="212"/>
      <c r="M299" s="212"/>
      <c r="N299" s="212"/>
      <c r="O299" s="212"/>
      <c r="P299" s="212"/>
      <c r="Q299" s="212"/>
      <c r="R299" s="212"/>
      <c r="S299" s="212"/>
      <c r="T299" s="212"/>
      <c r="U299" s="212"/>
      <c r="V299" s="212"/>
      <c r="W299" s="212"/>
      <c r="X299" s="212"/>
      <c r="Y299" s="212"/>
      <c r="Z299" s="212"/>
      <c r="AA299" s="212"/>
      <c r="AB299" s="212"/>
      <c r="AC299" s="196"/>
      <c r="AD299" s="27"/>
      <c r="AE299" s="213"/>
      <c r="AF299" s="212">
        <f t="shared" si="46"/>
        <v>-1.2213467968935632E-4</v>
      </c>
      <c r="AG299" s="212"/>
      <c r="AH299" s="212"/>
      <c r="AI299" s="212"/>
      <c r="AJ299" s="212"/>
      <c r="AK299" s="212"/>
      <c r="AL299" s="212"/>
      <c r="AM299" s="212"/>
      <c r="AN299" s="212"/>
      <c r="AO299" s="212"/>
      <c r="AP299" s="196"/>
      <c r="AQ299" s="196"/>
      <c r="AR299" s="211"/>
      <c r="AS299" s="212">
        <f t="shared" si="38"/>
        <v>-3.1438777545389485E-6</v>
      </c>
      <c r="AT299" s="212">
        <f>[1]!LIM(AT298+Mode*r0*((1+IntegrationStep/2/Ti+Td/IntegrationStep)*AS299-(1-IntegrationStep/2/Ti+2*Td/IntegrationStep)*AS298+Td/IntegrationStep*AS297))</f>
        <v>0.4030611229748946</v>
      </c>
      <c r="AU299" s="212">
        <f t="shared" si="39"/>
        <v>40.794124671602574</v>
      </c>
      <c r="AW299" s="58"/>
      <c r="AX299" s="58"/>
      <c r="AY299" s="58"/>
      <c r="AZ299" s="58"/>
    </row>
    <row r="300" spans="1:52" s="185" customFormat="1" ht="15" customHeight="1" x14ac:dyDescent="0.25">
      <c r="A300" s="200"/>
      <c r="B300" s="211"/>
      <c r="C300" s="212">
        <f t="shared" si="40"/>
        <v>28.900000000000141</v>
      </c>
      <c r="D300" s="231">
        <f>15+[1]!STEPLOAD(5)</f>
        <v>20</v>
      </c>
      <c r="E300" s="212">
        <f t="shared" si="42"/>
        <v>40.79442684591006</v>
      </c>
      <c r="F300" s="212">
        <f t="shared" si="43"/>
        <v>0.5</v>
      </c>
      <c r="G300" s="212">
        <f>5</f>
        <v>5</v>
      </c>
      <c r="H300" s="212">
        <f t="shared" si="41"/>
        <v>48.367415872942125</v>
      </c>
      <c r="I300" s="212">
        <f t="shared" si="44"/>
        <v>0.9</v>
      </c>
      <c r="J300" s="212">
        <f>1</f>
        <v>1</v>
      </c>
      <c r="K300" s="212">
        <f t="shared" si="45"/>
        <v>4.1870000000000003</v>
      </c>
      <c r="L300" s="212"/>
      <c r="M300" s="212"/>
      <c r="N300" s="212"/>
      <c r="O300" s="212"/>
      <c r="P300" s="212"/>
      <c r="Q300" s="212"/>
      <c r="R300" s="212"/>
      <c r="S300" s="212"/>
      <c r="T300" s="212"/>
      <c r="U300" s="212"/>
      <c r="V300" s="212"/>
      <c r="W300" s="212"/>
      <c r="X300" s="212"/>
      <c r="Y300" s="212"/>
      <c r="Z300" s="212"/>
      <c r="AA300" s="212"/>
      <c r="AB300" s="212"/>
      <c r="AC300" s="196"/>
      <c r="AD300" s="27"/>
      <c r="AE300" s="213"/>
      <c r="AF300" s="212">
        <f t="shared" si="46"/>
        <v>-1.1742614114185201E-4</v>
      </c>
      <c r="AG300" s="212"/>
      <c r="AH300" s="212"/>
      <c r="AI300" s="212"/>
      <c r="AJ300" s="212"/>
      <c r="AK300" s="212"/>
      <c r="AL300" s="212"/>
      <c r="AM300" s="212"/>
      <c r="AN300" s="212"/>
      <c r="AO300" s="212"/>
      <c r="AP300" s="196"/>
      <c r="AQ300" s="196"/>
      <c r="AR300" s="211"/>
      <c r="AS300" s="212">
        <f t="shared" si="38"/>
        <v>-3.021743074853589E-6</v>
      </c>
      <c r="AT300" s="212">
        <f>[1]!LIM(AT299+Mode*r0*((1+IntegrationStep/2/Ti+Td/IntegrationStep)*AS300-(1-IntegrationStep/2/Ti+2*Td/IntegrationStep)*AS299+Td/IntegrationStep*AS298))</f>
        <v>0.40306179894118438</v>
      </c>
      <c r="AU300" s="212">
        <f t="shared" si="39"/>
        <v>40.794124671602574</v>
      </c>
      <c r="AW300" s="58"/>
      <c r="AX300" s="58"/>
      <c r="AY300" s="58"/>
      <c r="AZ300" s="58"/>
    </row>
    <row r="301" spans="1:52" s="185" customFormat="1" ht="15" customHeight="1" x14ac:dyDescent="0.25">
      <c r="A301" s="200"/>
      <c r="B301" s="211"/>
      <c r="C301" s="212">
        <f t="shared" si="40"/>
        <v>29.000000000000142</v>
      </c>
      <c r="D301" s="231">
        <f>15+[1]!STEPLOAD(5)</f>
        <v>20</v>
      </c>
      <c r="E301" s="212">
        <f t="shared" si="42"/>
        <v>40.794415103295947</v>
      </c>
      <c r="F301" s="212">
        <f t="shared" si="43"/>
        <v>0.5</v>
      </c>
      <c r="G301" s="212">
        <f>5</f>
        <v>5</v>
      </c>
      <c r="H301" s="212">
        <f t="shared" si="41"/>
        <v>48.367493903645972</v>
      </c>
      <c r="I301" s="212">
        <f t="shared" si="44"/>
        <v>0.9</v>
      </c>
      <c r="J301" s="212">
        <f>1</f>
        <v>1</v>
      </c>
      <c r="K301" s="212">
        <f t="shared" si="45"/>
        <v>4.1870000000000003</v>
      </c>
      <c r="L301" s="212"/>
      <c r="M301" s="212"/>
      <c r="N301" s="212"/>
      <c r="O301" s="212"/>
      <c r="P301" s="212"/>
      <c r="Q301" s="212"/>
      <c r="R301" s="212"/>
      <c r="S301" s="212"/>
      <c r="T301" s="212"/>
      <c r="U301" s="212"/>
      <c r="V301" s="212"/>
      <c r="W301" s="212"/>
      <c r="X301" s="212"/>
      <c r="Y301" s="212"/>
      <c r="Z301" s="212"/>
      <c r="AA301" s="212"/>
      <c r="AB301" s="212"/>
      <c r="AC301" s="196"/>
      <c r="AD301" s="27"/>
      <c r="AE301" s="213"/>
      <c r="AF301" s="212">
        <f t="shared" si="46"/>
        <v>-1.1289732355823645E-4</v>
      </c>
      <c r="AG301" s="212"/>
      <c r="AH301" s="212"/>
      <c r="AI301" s="212"/>
      <c r="AJ301" s="212"/>
      <c r="AK301" s="212"/>
      <c r="AL301" s="212"/>
      <c r="AM301" s="212"/>
      <c r="AN301" s="212"/>
      <c r="AO301" s="212"/>
      <c r="AP301" s="196"/>
      <c r="AQ301" s="196"/>
      <c r="AR301" s="211"/>
      <c r="AS301" s="212">
        <f t="shared" si="38"/>
        <v>-2.9043169337228391E-6</v>
      </c>
      <c r="AT301" s="212">
        <f>[1]!LIM(AT300+Mode*r0*((1+IntegrationStep/2/Ti+Td/IntegrationStep)*AS301-(1-IntegrationStep/2/Ti+2*Td/IntegrationStep)*AS300+Td/IntegrationStep*AS299))</f>
        <v>0.40306244919704975</v>
      </c>
      <c r="AU301" s="212">
        <f t="shared" si="39"/>
        <v>40.794124671602574</v>
      </c>
      <c r="AW301" s="58"/>
      <c r="AX301" s="58"/>
      <c r="AY301" s="58"/>
      <c r="AZ301" s="58"/>
    </row>
    <row r="302" spans="1:52" s="185" customFormat="1" ht="15" customHeight="1" x14ac:dyDescent="0.25">
      <c r="A302" s="200"/>
      <c r="B302" s="211"/>
      <c r="C302" s="212">
        <f t="shared" si="40"/>
        <v>29.100000000000144</v>
      </c>
      <c r="D302" s="231">
        <f>15+[1]!STEPLOAD(5)</f>
        <v>20</v>
      </c>
      <c r="E302" s="212">
        <f t="shared" si="42"/>
        <v>40.794403813563591</v>
      </c>
      <c r="F302" s="212">
        <f t="shared" si="43"/>
        <v>0.5</v>
      </c>
      <c r="G302" s="212">
        <f>5</f>
        <v>5</v>
      </c>
      <c r="H302" s="212">
        <f t="shared" si="41"/>
        <v>48.367568964756146</v>
      </c>
      <c r="I302" s="212">
        <f t="shared" si="44"/>
        <v>0.9</v>
      </c>
      <c r="J302" s="212">
        <f>1</f>
        <v>1</v>
      </c>
      <c r="K302" s="212">
        <f t="shared" si="45"/>
        <v>4.1870000000000003</v>
      </c>
      <c r="L302" s="212"/>
      <c r="M302" s="212"/>
      <c r="N302" s="212"/>
      <c r="O302" s="212"/>
      <c r="P302" s="212"/>
      <c r="Q302" s="212"/>
      <c r="R302" s="212"/>
      <c r="S302" s="212"/>
      <c r="T302" s="212"/>
      <c r="U302" s="212"/>
      <c r="V302" s="212"/>
      <c r="W302" s="212"/>
      <c r="X302" s="212"/>
      <c r="Y302" s="212"/>
      <c r="Z302" s="212"/>
      <c r="AA302" s="212"/>
      <c r="AB302" s="212"/>
      <c r="AC302" s="196"/>
      <c r="AD302" s="27"/>
      <c r="AE302" s="213"/>
      <c r="AF302" s="212">
        <f t="shared" si="46"/>
        <v>-1.0854145760008649E-4</v>
      </c>
      <c r="AG302" s="212"/>
      <c r="AH302" s="212"/>
      <c r="AI302" s="212"/>
      <c r="AJ302" s="212"/>
      <c r="AK302" s="212"/>
      <c r="AL302" s="212"/>
      <c r="AM302" s="212"/>
      <c r="AN302" s="212"/>
      <c r="AO302" s="212"/>
      <c r="AP302" s="196"/>
      <c r="AQ302" s="196"/>
      <c r="AR302" s="211"/>
      <c r="AS302" s="212">
        <f t="shared" si="38"/>
        <v>-2.7914196101619381E-6</v>
      </c>
      <c r="AT302" s="212">
        <f>[1]!LIM(AT301+Mode*r0*((1+IntegrationStep/2/Ti+Td/IntegrationStep)*AS302-(1-IntegrationStep/2/Ti+2*Td/IntegrationStep)*AS301+Td/IntegrationStep*AS300))</f>
        <v>0.40306307470630121</v>
      </c>
      <c r="AU302" s="212">
        <f t="shared" si="39"/>
        <v>40.794124671602574</v>
      </c>
      <c r="AW302" s="58"/>
      <c r="AX302" s="58"/>
      <c r="AY302" s="58"/>
      <c r="AZ302" s="58"/>
    </row>
    <row r="303" spans="1:52" s="185" customFormat="1" ht="15" customHeight="1" x14ac:dyDescent="0.25">
      <c r="A303" s="200"/>
      <c r="B303" s="211"/>
      <c r="C303" s="212">
        <f t="shared" si="40"/>
        <v>29.200000000000145</v>
      </c>
      <c r="D303" s="231">
        <f>15+[1]!STEPLOAD(5)</f>
        <v>20</v>
      </c>
      <c r="E303" s="212">
        <f t="shared" si="42"/>
        <v>40.794392959417827</v>
      </c>
      <c r="F303" s="212">
        <f t="shared" si="43"/>
        <v>0.5</v>
      </c>
      <c r="G303" s="212">
        <f>5</f>
        <v>5</v>
      </c>
      <c r="H303" s="212">
        <f t="shared" si="41"/>
        <v>48.367641167680226</v>
      </c>
      <c r="I303" s="212">
        <f t="shared" si="44"/>
        <v>0.9</v>
      </c>
      <c r="J303" s="212">
        <f>1</f>
        <v>1</v>
      </c>
      <c r="K303" s="212">
        <f t="shared" si="45"/>
        <v>4.1870000000000003</v>
      </c>
      <c r="L303" s="212"/>
      <c r="M303" s="212"/>
      <c r="N303" s="212"/>
      <c r="O303" s="212"/>
      <c r="P303" s="212"/>
      <c r="Q303" s="212"/>
      <c r="R303" s="212"/>
      <c r="S303" s="212"/>
      <c r="T303" s="212"/>
      <c r="U303" s="212"/>
      <c r="V303" s="212"/>
      <c r="W303" s="212"/>
      <c r="X303" s="212"/>
      <c r="Y303" s="212"/>
      <c r="Z303" s="212"/>
      <c r="AA303" s="212"/>
      <c r="AB303" s="212"/>
      <c r="AC303" s="196"/>
      <c r="AD303" s="27"/>
      <c r="AE303" s="213"/>
      <c r="AF303" s="212">
        <f t="shared" si="46"/>
        <v>-1.0435202431446911E-4</v>
      </c>
      <c r="AG303" s="212"/>
      <c r="AH303" s="212"/>
      <c r="AI303" s="212"/>
      <c r="AJ303" s="212"/>
      <c r="AK303" s="212"/>
      <c r="AL303" s="212"/>
      <c r="AM303" s="212"/>
      <c r="AN303" s="212"/>
      <c r="AO303" s="212"/>
      <c r="AP303" s="196"/>
      <c r="AQ303" s="196"/>
      <c r="AR303" s="211"/>
      <c r="AS303" s="212">
        <f t="shared" si="38"/>
        <v>-2.6828781525267686E-6</v>
      </c>
      <c r="AT303" s="212">
        <f>[1]!LIM(AT302+Mode*r0*((1+IntegrationStep/2/Ti+Td/IntegrationStep)*AS303-(1-IntegrationStep/2/Ti+2*Td/IntegrationStep)*AS302+Td/IntegrationStep*AS301))</f>
        <v>0.4030636763973352</v>
      </c>
      <c r="AU303" s="212">
        <f t="shared" si="39"/>
        <v>40.794124671602574</v>
      </c>
      <c r="AW303" s="58"/>
      <c r="AX303" s="58"/>
      <c r="AY303" s="58"/>
      <c r="AZ303" s="58"/>
    </row>
    <row r="304" spans="1:52" s="185" customFormat="1" ht="15" customHeight="1" x14ac:dyDescent="0.25">
      <c r="A304" s="200"/>
      <c r="B304" s="211"/>
      <c r="C304" s="212">
        <f t="shared" si="40"/>
        <v>29.300000000000146</v>
      </c>
      <c r="D304" s="231">
        <f>15+[1]!STEPLOAD(5)</f>
        <v>20</v>
      </c>
      <c r="E304" s="212">
        <f t="shared" si="42"/>
        <v>40.794382524215393</v>
      </c>
      <c r="F304" s="212">
        <f t="shared" si="43"/>
        <v>0.5</v>
      </c>
      <c r="G304" s="212">
        <f>5</f>
        <v>5</v>
      </c>
      <c r="H304" s="212">
        <f t="shared" si="41"/>
        <v>48.367710619727717</v>
      </c>
      <c r="I304" s="212">
        <f t="shared" si="44"/>
        <v>0.9</v>
      </c>
      <c r="J304" s="212">
        <f>1</f>
        <v>1</v>
      </c>
      <c r="K304" s="212">
        <f t="shared" si="45"/>
        <v>4.1870000000000003</v>
      </c>
      <c r="L304" s="212"/>
      <c r="M304" s="212"/>
      <c r="N304" s="212"/>
      <c r="O304" s="212"/>
      <c r="P304" s="212"/>
      <c r="Q304" s="212"/>
      <c r="R304" s="212"/>
      <c r="S304" s="212"/>
      <c r="T304" s="212"/>
      <c r="U304" s="212"/>
      <c r="V304" s="212"/>
      <c r="W304" s="212"/>
      <c r="X304" s="212"/>
      <c r="Y304" s="212"/>
      <c r="Z304" s="212"/>
      <c r="AA304" s="212"/>
      <c r="AB304" s="212"/>
      <c r="AC304" s="196"/>
      <c r="AD304" s="27"/>
      <c r="AE304" s="213"/>
      <c r="AF304" s="212">
        <f t="shared" si="46"/>
        <v>-1.0032274611804226E-4</v>
      </c>
      <c r="AG304" s="212"/>
      <c r="AH304" s="212"/>
      <c r="AI304" s="212"/>
      <c r="AJ304" s="212"/>
      <c r="AK304" s="212"/>
      <c r="AL304" s="212"/>
      <c r="AM304" s="212"/>
      <c r="AN304" s="212"/>
      <c r="AO304" s="212"/>
      <c r="AP304" s="196"/>
      <c r="AQ304" s="196"/>
      <c r="AR304" s="211"/>
      <c r="AS304" s="212">
        <f t="shared" si="38"/>
        <v>-2.578526128189651E-6</v>
      </c>
      <c r="AT304" s="212">
        <f>[1]!LIM(AT303+Mode*r0*((1+IntegrationStep/2/Ti+Td/IntegrationStep)*AS304-(1-IntegrationStep/2/Ti+2*Td/IntegrationStep)*AS303+Td/IntegrationStep*AS302))</f>
        <v>0.40306425516439764</v>
      </c>
      <c r="AU304" s="212">
        <f t="shared" si="39"/>
        <v>40.794124671602574</v>
      </c>
      <c r="AW304" s="58"/>
      <c r="AX304" s="58"/>
      <c r="AY304" s="58"/>
      <c r="AZ304" s="58"/>
    </row>
    <row r="305" spans="1:52" s="185" customFormat="1" ht="15" customHeight="1" x14ac:dyDescent="0.25">
      <c r="A305" s="200"/>
      <c r="B305" s="211"/>
      <c r="C305" s="212">
        <f t="shared" si="40"/>
        <v>29.400000000000148</v>
      </c>
      <c r="D305" s="231">
        <f>15+[1]!STEPLOAD(5)</f>
        <v>20</v>
      </c>
      <c r="E305" s="212">
        <f t="shared" si="42"/>
        <v>40.794372491940784</v>
      </c>
      <c r="F305" s="212">
        <f t="shared" si="43"/>
        <v>0.5</v>
      </c>
      <c r="G305" s="212">
        <f>5</f>
        <v>5</v>
      </c>
      <c r="H305" s="212">
        <f t="shared" si="41"/>
        <v>48.367777424256708</v>
      </c>
      <c r="I305" s="212">
        <f t="shared" si="44"/>
        <v>0.9</v>
      </c>
      <c r="J305" s="212">
        <f>1</f>
        <v>1</v>
      </c>
      <c r="K305" s="212">
        <f t="shared" si="45"/>
        <v>4.1870000000000003</v>
      </c>
      <c r="L305" s="212"/>
      <c r="M305" s="212"/>
      <c r="N305" s="212"/>
      <c r="O305" s="212"/>
      <c r="P305" s="212"/>
      <c r="Q305" s="212"/>
      <c r="R305" s="212"/>
      <c r="S305" s="212"/>
      <c r="T305" s="212"/>
      <c r="U305" s="212"/>
      <c r="V305" s="212"/>
      <c r="W305" s="212"/>
      <c r="X305" s="212"/>
      <c r="Y305" s="212"/>
      <c r="Z305" s="212"/>
      <c r="AA305" s="212"/>
      <c r="AB305" s="212"/>
      <c r="AC305" s="196"/>
      <c r="AD305" s="27"/>
      <c r="AE305" s="213"/>
      <c r="AF305" s="212">
        <f t="shared" si="46"/>
        <v>-9.6447578075142815E-5</v>
      </c>
      <c r="AG305" s="212"/>
      <c r="AH305" s="212"/>
      <c r="AI305" s="212"/>
      <c r="AJ305" s="212"/>
      <c r="AK305" s="212"/>
      <c r="AL305" s="212"/>
      <c r="AM305" s="212"/>
      <c r="AN305" s="212"/>
      <c r="AO305" s="212"/>
      <c r="AP305" s="196"/>
      <c r="AQ305" s="196"/>
      <c r="AR305" s="211"/>
      <c r="AS305" s="212">
        <f t="shared" si="38"/>
        <v>-2.4782033820969218E-6</v>
      </c>
      <c r="AT305" s="212">
        <f>[1]!LIM(AT304+Mode*r0*((1+IntegrationStep/2/Ti+Td/IntegrationStep)*AS305-(1-IntegrationStep/2/Ti+2*Td/IntegrationStep)*AS304+Td/IntegrationStep*AS303))</f>
        <v>0.40306481186880588</v>
      </c>
      <c r="AU305" s="212">
        <f t="shared" si="39"/>
        <v>40.794124671602574</v>
      </c>
      <c r="AW305" s="58"/>
      <c r="AX305" s="58"/>
      <c r="AY305" s="58"/>
      <c r="AZ305" s="58"/>
    </row>
    <row r="306" spans="1:52" s="185" customFormat="1" ht="15" customHeight="1" x14ac:dyDescent="0.25">
      <c r="A306" s="200"/>
      <c r="B306" s="211"/>
      <c r="C306" s="212">
        <f t="shared" si="40"/>
        <v>29.500000000000149</v>
      </c>
      <c r="D306" s="231">
        <f>15+[1]!STEPLOAD(5)</f>
        <v>20</v>
      </c>
      <c r="E306" s="212">
        <f t="shared" si="42"/>
        <v>40.794362847182974</v>
      </c>
      <c r="F306" s="212">
        <f t="shared" si="43"/>
        <v>0.5</v>
      </c>
      <c r="G306" s="212">
        <f>5</f>
        <v>5</v>
      </c>
      <c r="H306" s="212">
        <f t="shared" si="41"/>
        <v>48.367841680815602</v>
      </c>
      <c r="I306" s="212">
        <f t="shared" si="44"/>
        <v>0.9</v>
      </c>
      <c r="J306" s="212">
        <f>1</f>
        <v>1</v>
      </c>
      <c r="K306" s="212">
        <f t="shared" si="45"/>
        <v>4.1870000000000003</v>
      </c>
      <c r="L306" s="212"/>
      <c r="M306" s="212"/>
      <c r="N306" s="212"/>
      <c r="O306" s="212"/>
      <c r="P306" s="212"/>
      <c r="Q306" s="212"/>
      <c r="R306" s="212"/>
      <c r="S306" s="212"/>
      <c r="T306" s="212"/>
      <c r="U306" s="212"/>
      <c r="V306" s="212"/>
      <c r="W306" s="212"/>
      <c r="X306" s="212"/>
      <c r="Y306" s="212"/>
      <c r="Z306" s="212"/>
      <c r="AA306" s="212"/>
      <c r="AB306" s="212"/>
      <c r="AC306" s="196"/>
      <c r="AD306" s="27"/>
      <c r="AE306" s="213"/>
      <c r="AF306" s="212">
        <f t="shared" si="46"/>
        <v>-9.272069947563466E-5</v>
      </c>
      <c r="AG306" s="212"/>
      <c r="AH306" s="212"/>
      <c r="AI306" s="212"/>
      <c r="AJ306" s="212"/>
      <c r="AK306" s="212"/>
      <c r="AL306" s="212"/>
      <c r="AM306" s="212"/>
      <c r="AN306" s="212"/>
      <c r="AO306" s="212"/>
      <c r="AP306" s="196"/>
      <c r="AQ306" s="196"/>
      <c r="AR306" s="211"/>
      <c r="AS306" s="212">
        <f t="shared" si="38"/>
        <v>-2.3817558039951338E-6</v>
      </c>
      <c r="AT306" s="212">
        <f>[1]!LIM(AT305+Mode*r0*((1+IntegrationStep/2/Ti+Td/IntegrationStep)*AS306-(1-IntegrationStep/2/Ti+2*Td/IntegrationStep)*AS305+Td/IntegrationStep*AS304))</f>
        <v>0.40306534734013</v>
      </c>
      <c r="AU306" s="212">
        <f t="shared" si="39"/>
        <v>40.794124671602574</v>
      </c>
      <c r="AW306" s="58"/>
      <c r="AX306" s="58"/>
      <c r="AY306" s="58"/>
      <c r="AZ306" s="58"/>
    </row>
    <row r="307" spans="1:52" s="185" customFormat="1" ht="15" customHeight="1" x14ac:dyDescent="0.25">
      <c r="A307" s="200"/>
      <c r="B307" s="211"/>
      <c r="C307" s="212">
        <f t="shared" si="40"/>
        <v>29.600000000000151</v>
      </c>
      <c r="D307" s="231">
        <f>15+[1]!STEPLOAD(5)</f>
        <v>20</v>
      </c>
      <c r="E307" s="212">
        <f t="shared" si="42"/>
        <v>40.794353575113028</v>
      </c>
      <c r="F307" s="212">
        <f t="shared" si="43"/>
        <v>0.5</v>
      </c>
      <c r="G307" s="212">
        <f>5</f>
        <v>5</v>
      </c>
      <c r="H307" s="212">
        <f t="shared" si="41"/>
        <v>48.367903485279179</v>
      </c>
      <c r="I307" s="212">
        <f t="shared" si="44"/>
        <v>0.9</v>
      </c>
      <c r="J307" s="212">
        <f>1</f>
        <v>1</v>
      </c>
      <c r="K307" s="212">
        <f t="shared" si="45"/>
        <v>4.1870000000000003</v>
      </c>
      <c r="L307" s="212"/>
      <c r="M307" s="212"/>
      <c r="N307" s="212"/>
      <c r="O307" s="212"/>
      <c r="P307" s="212"/>
      <c r="Q307" s="212"/>
      <c r="R307" s="212"/>
      <c r="S307" s="212"/>
      <c r="T307" s="212"/>
      <c r="U307" s="212"/>
      <c r="V307" s="212"/>
      <c r="W307" s="212"/>
      <c r="X307" s="212"/>
      <c r="Y307" s="212"/>
      <c r="Z307" s="212"/>
      <c r="AA307" s="212"/>
      <c r="AB307" s="212"/>
      <c r="AC307" s="196"/>
      <c r="AD307" s="27"/>
      <c r="AE307" s="213"/>
      <c r="AF307" s="212">
        <f t="shared" si="46"/>
        <v>-8.9136505749820572E-5</v>
      </c>
      <c r="AG307" s="212"/>
      <c r="AH307" s="212"/>
      <c r="AI307" s="212"/>
      <c r="AJ307" s="212"/>
      <c r="AK307" s="212"/>
      <c r="AL307" s="212"/>
      <c r="AM307" s="212"/>
      <c r="AN307" s="212"/>
      <c r="AO307" s="212"/>
      <c r="AP307" s="196"/>
      <c r="AQ307" s="196"/>
      <c r="AR307" s="211"/>
      <c r="AS307" s="212">
        <f t="shared" si="38"/>
        <v>-2.2890351045390389E-6</v>
      </c>
      <c r="AT307" s="212">
        <f>[1]!LIM(AT306+Mode*r0*((1+IntegrationStep/2/Ti+Td/IntegrationStep)*AS307-(1-IntegrationStep/2/Ti+2*Td/IntegrationStep)*AS306+Td/IntegrationStep*AS305))</f>
        <v>0.4030658623773265</v>
      </c>
      <c r="AU307" s="212">
        <f t="shared" si="39"/>
        <v>40.794124671602574</v>
      </c>
      <c r="AW307" s="58"/>
      <c r="AX307" s="58"/>
      <c r="AY307" s="58"/>
      <c r="AZ307" s="58"/>
    </row>
    <row r="308" spans="1:52" s="185" customFormat="1" ht="15" customHeight="1" x14ac:dyDescent="0.25">
      <c r="A308" s="200"/>
      <c r="B308" s="211"/>
      <c r="C308" s="212">
        <f t="shared" si="40"/>
        <v>29.700000000000152</v>
      </c>
      <c r="D308" s="231">
        <f>15+[1]!STEPLOAD(5)</f>
        <v>20</v>
      </c>
      <c r="E308" s="212">
        <f t="shared" si="42"/>
        <v>40.794344661462453</v>
      </c>
      <c r="F308" s="212">
        <f t="shared" si="43"/>
        <v>0.5</v>
      </c>
      <c r="G308" s="212">
        <f>5</f>
        <v>5</v>
      </c>
      <c r="H308" s="212">
        <f t="shared" si="41"/>
        <v>48.367962929981211</v>
      </c>
      <c r="I308" s="212">
        <f t="shared" si="44"/>
        <v>0.9</v>
      </c>
      <c r="J308" s="212">
        <f>1</f>
        <v>1</v>
      </c>
      <c r="K308" s="212">
        <f t="shared" si="45"/>
        <v>4.1870000000000003</v>
      </c>
      <c r="L308" s="212"/>
      <c r="M308" s="212"/>
      <c r="N308" s="212"/>
      <c r="O308" s="212"/>
      <c r="P308" s="212"/>
      <c r="Q308" s="212"/>
      <c r="R308" s="212"/>
      <c r="S308" s="212"/>
      <c r="T308" s="212"/>
      <c r="U308" s="212"/>
      <c r="V308" s="212"/>
      <c r="W308" s="212"/>
      <c r="X308" s="212"/>
      <c r="Y308" s="212"/>
      <c r="Z308" s="212"/>
      <c r="AA308" s="212"/>
      <c r="AB308" s="212"/>
      <c r="AC308" s="196"/>
      <c r="AD308" s="27"/>
      <c r="AE308" s="213"/>
      <c r="AF308" s="212">
        <f t="shared" si="46"/>
        <v>-8.5689600600513671E-5</v>
      </c>
      <c r="AG308" s="212"/>
      <c r="AH308" s="212"/>
      <c r="AI308" s="212"/>
      <c r="AJ308" s="212"/>
      <c r="AK308" s="212"/>
      <c r="AL308" s="212"/>
      <c r="AM308" s="212"/>
      <c r="AN308" s="212"/>
      <c r="AO308" s="212"/>
      <c r="AP308" s="196"/>
      <c r="AQ308" s="196"/>
      <c r="AR308" s="211"/>
      <c r="AS308" s="212">
        <f t="shared" si="38"/>
        <v>-2.1998985987892184E-6</v>
      </c>
      <c r="AT308" s="212">
        <f>[1]!LIM(AT307+Mode*r0*((1+IntegrationStep/2/Ti+Td/IntegrationStep)*AS308-(1-IntegrationStep/2/Ti+2*Td/IntegrationStep)*AS307+Td/IntegrationStep*AS306))</f>
        <v>0.4030663577498434</v>
      </c>
      <c r="AU308" s="212">
        <f t="shared" si="39"/>
        <v>40.794124671602574</v>
      </c>
      <c r="AW308" s="58"/>
      <c r="AX308" s="58"/>
      <c r="AY308" s="58"/>
      <c r="AZ308" s="58"/>
    </row>
    <row r="309" spans="1:52" s="185" customFormat="1" ht="15" customHeight="1" x14ac:dyDescent="0.25">
      <c r="A309" s="200"/>
      <c r="B309" s="211"/>
      <c r="C309" s="212">
        <f t="shared" si="40"/>
        <v>29.800000000000153</v>
      </c>
      <c r="D309" s="231">
        <f>15+[1]!STEPLOAD(5)</f>
        <v>20</v>
      </c>
      <c r="E309" s="212">
        <f t="shared" si="42"/>
        <v>40.794336092502391</v>
      </c>
      <c r="F309" s="212">
        <f t="shared" si="43"/>
        <v>0.5</v>
      </c>
      <c r="G309" s="212">
        <f>5</f>
        <v>5</v>
      </c>
      <c r="H309" s="212">
        <f t="shared" si="41"/>
        <v>48.368020103841403</v>
      </c>
      <c r="I309" s="212">
        <f t="shared" si="44"/>
        <v>0.9</v>
      </c>
      <c r="J309" s="212">
        <f>1</f>
        <v>1</v>
      </c>
      <c r="K309" s="212">
        <f t="shared" si="45"/>
        <v>4.1870000000000003</v>
      </c>
      <c r="L309" s="212"/>
      <c r="M309" s="212"/>
      <c r="N309" s="212"/>
      <c r="O309" s="212"/>
      <c r="P309" s="212"/>
      <c r="Q309" s="212"/>
      <c r="R309" s="212"/>
      <c r="S309" s="212"/>
      <c r="T309" s="212"/>
      <c r="U309" s="212"/>
      <c r="V309" s="212"/>
      <c r="W309" s="212"/>
      <c r="X309" s="212"/>
      <c r="Y309" s="212"/>
      <c r="Z309" s="212"/>
      <c r="AA309" s="212"/>
      <c r="AB309" s="212"/>
      <c r="AC309" s="196"/>
      <c r="AD309" s="27"/>
      <c r="AE309" s="213"/>
      <c r="AF309" s="212">
        <f t="shared" si="46"/>
        <v>-8.2374788464179005E-5</v>
      </c>
      <c r="AG309" s="212"/>
      <c r="AH309" s="212"/>
      <c r="AI309" s="212"/>
      <c r="AJ309" s="212"/>
      <c r="AK309" s="212"/>
      <c r="AL309" s="212"/>
      <c r="AM309" s="212"/>
      <c r="AN309" s="212"/>
      <c r="AO309" s="212"/>
      <c r="AP309" s="196"/>
      <c r="AQ309" s="196"/>
      <c r="AR309" s="211"/>
      <c r="AS309" s="212">
        <f t="shared" si="38"/>
        <v>-2.1142089981651679E-6</v>
      </c>
      <c r="AT309" s="212">
        <f>[1]!LIM(AT308+Mode*r0*((1+IntegrationStep/2/Ti+Td/IntegrationStep)*AS309-(1-IntegrationStep/2/Ti+2*Td/IntegrationStep)*AS308+Td/IntegrationStep*AS307))</f>
        <v>0.40306683419867834</v>
      </c>
      <c r="AU309" s="212">
        <f t="shared" si="39"/>
        <v>40.794124671602574</v>
      </c>
      <c r="AW309" s="58"/>
      <c r="AX309" s="58"/>
      <c r="AY309" s="58"/>
      <c r="AZ309" s="58"/>
    </row>
    <row r="310" spans="1:52" s="185" customFormat="1" ht="15" customHeight="1" x14ac:dyDescent="0.25">
      <c r="A310" s="200"/>
      <c r="B310" s="211"/>
      <c r="C310" s="212">
        <f t="shared" si="40"/>
        <v>29.900000000000155</v>
      </c>
      <c r="D310" s="231">
        <f>15+[1]!STEPLOAD(5)</f>
        <v>20</v>
      </c>
      <c r="E310" s="212">
        <f t="shared" si="42"/>
        <v>40.794327855023546</v>
      </c>
      <c r="F310" s="212">
        <f t="shared" si="43"/>
        <v>0.5</v>
      </c>
      <c r="G310" s="212">
        <f>5</f>
        <v>5</v>
      </c>
      <c r="H310" s="212">
        <f t="shared" si="41"/>
        <v>48.368075092488432</v>
      </c>
      <c r="I310" s="212">
        <f t="shared" si="44"/>
        <v>0.9</v>
      </c>
      <c r="J310" s="212">
        <f>1</f>
        <v>1</v>
      </c>
      <c r="K310" s="212">
        <f t="shared" si="45"/>
        <v>4.1870000000000003</v>
      </c>
      <c r="L310" s="212"/>
      <c r="M310" s="212"/>
      <c r="N310" s="212"/>
      <c r="O310" s="212"/>
      <c r="P310" s="212"/>
      <c r="Q310" s="212"/>
      <c r="R310" s="212"/>
      <c r="S310" s="212"/>
      <c r="T310" s="212"/>
      <c r="U310" s="212"/>
      <c r="V310" s="212"/>
      <c r="W310" s="212"/>
      <c r="X310" s="212"/>
      <c r="Y310" s="212"/>
      <c r="Z310" s="212"/>
      <c r="AA310" s="212"/>
      <c r="AB310" s="212"/>
      <c r="AC310" s="196"/>
      <c r="AD310" s="27"/>
      <c r="AE310" s="213"/>
      <c r="AF310" s="212">
        <f t="shared" si="46"/>
        <v>-7.9187067218100538E-5</v>
      </c>
      <c r="AG310" s="212"/>
      <c r="AH310" s="212"/>
      <c r="AI310" s="212"/>
      <c r="AJ310" s="212"/>
      <c r="AK310" s="212"/>
      <c r="AL310" s="212"/>
      <c r="AM310" s="212"/>
      <c r="AN310" s="212"/>
      <c r="AO310" s="212"/>
      <c r="AP310" s="196"/>
      <c r="AQ310" s="196"/>
      <c r="AR310" s="211"/>
      <c r="AS310" s="212">
        <f t="shared" si="38"/>
        <v>-2.0318342097169762E-6</v>
      </c>
      <c r="AT310" s="212">
        <f>[1]!LIM(AT309+Mode*r0*((1+IntegrationStep/2/Ti+Td/IntegrationStep)*AS310-(1-IntegrationStep/2/Ti+2*Td/IntegrationStep)*AS309+Td/IntegrationStep*AS308))</f>
        <v>0.40306729243740358</v>
      </c>
      <c r="AU310" s="212">
        <f t="shared" si="39"/>
        <v>40.794124671602574</v>
      </c>
      <c r="AW310" s="58"/>
      <c r="AX310" s="58"/>
      <c r="AY310" s="58"/>
      <c r="AZ310" s="58"/>
    </row>
    <row r="311" spans="1:52" s="185" customFormat="1" ht="15" customHeight="1" x14ac:dyDescent="0.25">
      <c r="A311" s="200"/>
      <c r="B311" s="211"/>
      <c r="C311" s="212">
        <f t="shared" si="40"/>
        <v>30.000000000000156</v>
      </c>
      <c r="D311" s="231">
        <f>15+[1]!STEPLOAD(5)</f>
        <v>20</v>
      </c>
      <c r="E311" s="212">
        <f t="shared" si="42"/>
        <v>40.794319936316825</v>
      </c>
      <c r="F311" s="212">
        <f t="shared" si="43"/>
        <v>0.5</v>
      </c>
      <c r="G311" s="212">
        <f>5</f>
        <v>5</v>
      </c>
      <c r="H311" s="212">
        <f t="shared" si="41"/>
        <v>48.368127978378993</v>
      </c>
      <c r="I311" s="212">
        <f t="shared" si="44"/>
        <v>0.9</v>
      </c>
      <c r="J311" s="212">
        <f>1</f>
        <v>1</v>
      </c>
      <c r="K311" s="212">
        <f t="shared" si="45"/>
        <v>4.1870000000000003</v>
      </c>
      <c r="L311" s="212"/>
      <c r="M311" s="212"/>
      <c r="N311" s="212"/>
      <c r="O311" s="212"/>
      <c r="P311" s="212"/>
      <c r="Q311" s="212"/>
      <c r="R311" s="212"/>
      <c r="S311" s="212"/>
      <c r="T311" s="212"/>
      <c r="U311" s="212"/>
      <c r="V311" s="212"/>
      <c r="W311" s="212"/>
      <c r="X311" s="212"/>
      <c r="Y311" s="212"/>
      <c r="Z311" s="212"/>
      <c r="AA311" s="212"/>
      <c r="AB311" s="212"/>
      <c r="AC311" s="196"/>
      <c r="AD311" s="27"/>
      <c r="AE311" s="213"/>
      <c r="AF311" s="212">
        <f t="shared" si="46"/>
        <v>-7.612162112202725E-5</v>
      </c>
      <c r="AG311" s="212"/>
      <c r="AH311" s="212"/>
      <c r="AI311" s="212"/>
      <c r="AJ311" s="212"/>
      <c r="AK311" s="212"/>
      <c r="AL311" s="212"/>
      <c r="AM311" s="212"/>
      <c r="AN311" s="212"/>
      <c r="AO311" s="212"/>
      <c r="AP311" s="196"/>
      <c r="AQ311" s="196"/>
      <c r="AR311" s="211"/>
      <c r="AS311" s="212">
        <f t="shared" si="38"/>
        <v>-1.9526471425024285E-6</v>
      </c>
      <c r="AT311" s="212">
        <f>[1]!LIM(AT310+Mode*r0*((1+IntegrationStep/2/Ti+Td/IntegrationStep)*AS311-(1-IntegrationStep/2/Ti+2*Td/IntegrationStep)*AS310+Td/IntegrationStep*AS309))</f>
        <v>0.40306773315315825</v>
      </c>
      <c r="AU311" s="212">
        <f t="shared" si="39"/>
        <v>40.794124671602574</v>
      </c>
      <c r="AW311" s="58"/>
      <c r="AX311" s="58"/>
      <c r="AY311" s="58"/>
      <c r="AZ311" s="58"/>
    </row>
    <row r="312" spans="1:52" s="185" customFormat="1" ht="15" customHeight="1" x14ac:dyDescent="0.25">
      <c r="A312" s="200"/>
      <c r="B312" s="211"/>
      <c r="C312" s="212">
        <f t="shared" si="40"/>
        <v>30.100000000000158</v>
      </c>
      <c r="D312" s="231">
        <f>15+[1]!STEPLOAD(5)</f>
        <v>20</v>
      </c>
      <c r="E312" s="212">
        <f t="shared" si="42"/>
        <v>40.79431232415471</v>
      </c>
      <c r="F312" s="212">
        <f t="shared" si="43"/>
        <v>0.5</v>
      </c>
      <c r="G312" s="212">
        <f>5</f>
        <v>5</v>
      </c>
      <c r="H312" s="212">
        <f t="shared" si="41"/>
        <v>48.368178840912122</v>
      </c>
      <c r="I312" s="212">
        <f t="shared" si="44"/>
        <v>0.9</v>
      </c>
      <c r="J312" s="212">
        <f>1</f>
        <v>1</v>
      </c>
      <c r="K312" s="212">
        <f t="shared" si="45"/>
        <v>4.1870000000000003</v>
      </c>
      <c r="L312" s="212"/>
      <c r="M312" s="212"/>
      <c r="N312" s="212"/>
      <c r="O312" s="212"/>
      <c r="P312" s="212"/>
      <c r="Q312" s="212"/>
      <c r="R312" s="212"/>
      <c r="S312" s="212"/>
      <c r="T312" s="212"/>
      <c r="U312" s="212"/>
      <c r="V312" s="212"/>
      <c r="W312" s="212"/>
      <c r="X312" s="212"/>
      <c r="Y312" s="212"/>
      <c r="Z312" s="212"/>
      <c r="AA312" s="212"/>
      <c r="AB312" s="212"/>
      <c r="AC312" s="196"/>
      <c r="AD312" s="27"/>
      <c r="AE312" s="213"/>
      <c r="AF312" s="212">
        <f t="shared" si="46"/>
        <v>-7.3173814042259977E-5</v>
      </c>
      <c r="AG312" s="212"/>
      <c r="AH312" s="212"/>
      <c r="AI312" s="212"/>
      <c r="AJ312" s="212"/>
      <c r="AK312" s="212"/>
      <c r="AL312" s="212"/>
      <c r="AM312" s="212"/>
      <c r="AN312" s="212"/>
      <c r="AO312" s="212"/>
      <c r="AP312" s="196"/>
      <c r="AQ312" s="196"/>
      <c r="AR312" s="211"/>
      <c r="AS312" s="212">
        <f t="shared" si="38"/>
        <v>-1.8765255213537558E-6</v>
      </c>
      <c r="AT312" s="212">
        <f>[1]!LIM(AT311+Mode*r0*((1+IntegrationStep/2/Ti+Td/IntegrationStep)*AS312-(1-IntegrationStep/2/Ti+2*Td/IntegrationStep)*AS311+Td/IntegrationStep*AS310))</f>
        <v>0.40306815700760101</v>
      </c>
      <c r="AU312" s="212">
        <f t="shared" si="39"/>
        <v>40.794124671602574</v>
      </c>
      <c r="AW312" s="58"/>
      <c r="AX312" s="58"/>
      <c r="AY312" s="58"/>
      <c r="AZ312" s="58"/>
    </row>
    <row r="313" spans="1:52" s="185" customFormat="1" ht="15" customHeight="1" x14ac:dyDescent="0.25">
      <c r="A313" s="200"/>
      <c r="B313" s="211"/>
      <c r="C313" s="212">
        <f t="shared" si="40"/>
        <v>30.200000000000159</v>
      </c>
      <c r="D313" s="231">
        <f>15+[1]!STEPLOAD(5)</f>
        <v>20</v>
      </c>
      <c r="E313" s="212">
        <f t="shared" si="42"/>
        <v>40.794305006773307</v>
      </c>
      <c r="F313" s="212">
        <f t="shared" si="43"/>
        <v>0.5</v>
      </c>
      <c r="G313" s="212">
        <f>5</f>
        <v>5</v>
      </c>
      <c r="H313" s="212">
        <f t="shared" si="41"/>
        <v>48.368227756539731</v>
      </c>
      <c r="I313" s="212">
        <f t="shared" si="44"/>
        <v>0.9</v>
      </c>
      <c r="J313" s="212">
        <f>1</f>
        <v>1</v>
      </c>
      <c r="K313" s="212">
        <f t="shared" si="45"/>
        <v>4.1870000000000003</v>
      </c>
      <c r="L313" s="212"/>
      <c r="M313" s="212"/>
      <c r="N313" s="212"/>
      <c r="O313" s="212"/>
      <c r="P313" s="212"/>
      <c r="Q313" s="212"/>
      <c r="R313" s="212"/>
      <c r="S313" s="212"/>
      <c r="T313" s="212"/>
      <c r="U313" s="212"/>
      <c r="V313" s="212"/>
      <c r="W313" s="212"/>
      <c r="X313" s="212"/>
      <c r="Y313" s="212"/>
      <c r="Z313" s="212"/>
      <c r="AA313" s="212"/>
      <c r="AB313" s="212"/>
      <c r="AC313" s="196"/>
      <c r="AD313" s="27"/>
      <c r="AE313" s="213"/>
      <c r="AF313" s="212">
        <f t="shared" si="46"/>
        <v>-7.0339182906664632E-5</v>
      </c>
      <c r="AG313" s="212"/>
      <c r="AH313" s="212"/>
      <c r="AI313" s="212"/>
      <c r="AJ313" s="212"/>
      <c r="AK313" s="212"/>
      <c r="AL313" s="212"/>
      <c r="AM313" s="212"/>
      <c r="AN313" s="212"/>
      <c r="AO313" s="212"/>
      <c r="AP313" s="196"/>
      <c r="AQ313" s="196"/>
      <c r="AR313" s="211"/>
      <c r="AS313" s="212">
        <f t="shared" si="38"/>
        <v>-1.8033517073234861E-6</v>
      </c>
      <c r="AT313" s="212">
        <f>[1]!LIM(AT312+Mode*r0*((1+IntegrationStep/2/Ti+Td/IntegrationStep)*AS313-(1-IntegrationStep/2/Ti+2*Td/IntegrationStep)*AS312+Td/IntegrationStep*AS311))</f>
        <v>0.40306856463783108</v>
      </c>
      <c r="AU313" s="212">
        <f t="shared" si="39"/>
        <v>40.794124671602574</v>
      </c>
      <c r="AW313" s="58"/>
      <c r="AX313" s="58"/>
      <c r="AY313" s="58"/>
      <c r="AZ313" s="58"/>
    </row>
    <row r="314" spans="1:52" s="185" customFormat="1" ht="15" customHeight="1" x14ac:dyDescent="0.25">
      <c r="A314" s="200"/>
      <c r="B314" s="211"/>
      <c r="C314" s="212">
        <f t="shared" si="40"/>
        <v>30.300000000000161</v>
      </c>
      <c r="D314" s="231">
        <f>15+[1]!STEPLOAD(5)</f>
        <v>20</v>
      </c>
      <c r="E314" s="212">
        <f t="shared" si="42"/>
        <v>40.794297972855013</v>
      </c>
      <c r="F314" s="212">
        <f t="shared" si="43"/>
        <v>0.5</v>
      </c>
      <c r="G314" s="212">
        <f>5</f>
        <v>5</v>
      </c>
      <c r="H314" s="212">
        <f t="shared" si="41"/>
        <v>48.368274798873813</v>
      </c>
      <c r="I314" s="212">
        <f t="shared" si="44"/>
        <v>0.9</v>
      </c>
      <c r="J314" s="212">
        <f>1</f>
        <v>1</v>
      </c>
      <c r="K314" s="212">
        <f t="shared" si="45"/>
        <v>4.1870000000000003</v>
      </c>
      <c r="L314" s="212"/>
      <c r="M314" s="212"/>
      <c r="N314" s="212"/>
      <c r="O314" s="212"/>
      <c r="P314" s="212"/>
      <c r="Q314" s="212"/>
      <c r="R314" s="212"/>
      <c r="S314" s="212"/>
      <c r="T314" s="212"/>
      <c r="U314" s="212"/>
      <c r="V314" s="212"/>
      <c r="W314" s="212"/>
      <c r="X314" s="212"/>
      <c r="Y314" s="212"/>
      <c r="Z314" s="212"/>
      <c r="AA314" s="212"/>
      <c r="AB314" s="212"/>
      <c r="AC314" s="196"/>
      <c r="AD314" s="27"/>
      <c r="AE314" s="213"/>
      <c r="AF314" s="212">
        <f t="shared" si="46"/>
        <v>-6.7613431360857845E-5</v>
      </c>
      <c r="AG314" s="212"/>
      <c r="AH314" s="212"/>
      <c r="AI314" s="212"/>
      <c r="AJ314" s="212"/>
      <c r="AK314" s="212"/>
      <c r="AL314" s="212"/>
      <c r="AM314" s="212"/>
      <c r="AN314" s="212"/>
      <c r="AO314" s="212"/>
      <c r="AP314" s="196"/>
      <c r="AQ314" s="196"/>
      <c r="AR314" s="211"/>
      <c r="AS314" s="212">
        <f t="shared" si="38"/>
        <v>-1.7330125243830707E-6</v>
      </c>
      <c r="AT314" s="212">
        <f>[1]!LIM(AT313+Mode*r0*((1+IntegrationStep/2/Ti+Td/IntegrationStep)*AS314-(1-IntegrationStep/2/Ti+2*Td/IntegrationStep)*AS313+Td/IntegrationStep*AS312))</f>
        <v>0.40306895665728176</v>
      </c>
      <c r="AU314" s="212">
        <f t="shared" si="39"/>
        <v>40.794124671602574</v>
      </c>
      <c r="AW314" s="58"/>
      <c r="AX314" s="58"/>
      <c r="AY314" s="58"/>
      <c r="AZ314" s="58"/>
    </row>
    <row r="315" spans="1:52" s="185" customFormat="1" ht="15" customHeight="1" x14ac:dyDescent="0.25">
      <c r="A315" s="200"/>
      <c r="B315" s="211"/>
      <c r="C315" s="212">
        <f t="shared" si="40"/>
        <v>30.400000000000162</v>
      </c>
      <c r="D315" s="231">
        <f>15+[1]!STEPLOAD(5)</f>
        <v>20</v>
      </c>
      <c r="E315" s="212">
        <f t="shared" si="42"/>
        <v>40.794291211511876</v>
      </c>
      <c r="F315" s="212">
        <f t="shared" si="43"/>
        <v>0.5</v>
      </c>
      <c r="G315" s="212">
        <f>5</f>
        <v>5</v>
      </c>
      <c r="H315" s="212">
        <f t="shared" si="41"/>
        <v>48.368320038788887</v>
      </c>
      <c r="I315" s="212">
        <f t="shared" si="44"/>
        <v>0.9</v>
      </c>
      <c r="J315" s="212">
        <f>1</f>
        <v>1</v>
      </c>
      <c r="K315" s="212">
        <f t="shared" si="45"/>
        <v>4.1870000000000003</v>
      </c>
      <c r="L315" s="212"/>
      <c r="M315" s="212"/>
      <c r="N315" s="212"/>
      <c r="O315" s="212"/>
      <c r="P315" s="212"/>
      <c r="Q315" s="212"/>
      <c r="R315" s="212"/>
      <c r="S315" s="212"/>
      <c r="T315" s="212"/>
      <c r="U315" s="212"/>
      <c r="V315" s="212"/>
      <c r="W315" s="212"/>
      <c r="X315" s="212"/>
      <c r="Y315" s="212"/>
      <c r="Z315" s="212"/>
      <c r="AA315" s="212"/>
      <c r="AB315" s="212"/>
      <c r="AC315" s="196"/>
      <c r="AD315" s="27"/>
      <c r="AE315" s="213"/>
      <c r="AF315" s="212">
        <f t="shared" si="46"/>
        <v>-6.4992423697951551E-5</v>
      </c>
      <c r="AG315" s="212"/>
      <c r="AH315" s="212"/>
      <c r="AI315" s="212"/>
      <c r="AJ315" s="212"/>
      <c r="AK315" s="212"/>
      <c r="AL315" s="212"/>
      <c r="AM315" s="212"/>
      <c r="AN315" s="212"/>
      <c r="AO315" s="212"/>
      <c r="AP315" s="196"/>
      <c r="AQ315" s="196"/>
      <c r="AR315" s="211"/>
      <c r="AS315" s="212">
        <f t="shared" si="38"/>
        <v>-1.6653990930137753E-6</v>
      </c>
      <c r="AT315" s="212">
        <f>[1]!LIM(AT314+Mode*r0*((1+IntegrationStep/2/Ti+Td/IntegrationStep)*AS315-(1-IntegrationStep/2/Ti+2*Td/IntegrationStep)*AS314+Td/IntegrationStep*AS313))</f>
        <v>0.40306933365657405</v>
      </c>
      <c r="AU315" s="212">
        <f t="shared" si="39"/>
        <v>40.794124671602574</v>
      </c>
      <c r="AW315" s="58"/>
      <c r="AX315" s="58"/>
      <c r="AY315" s="58"/>
      <c r="AZ315" s="58"/>
    </row>
    <row r="316" spans="1:52" s="185" customFormat="1" ht="15" customHeight="1" x14ac:dyDescent="0.25">
      <c r="A316" s="200"/>
      <c r="B316" s="211"/>
      <c r="C316" s="212">
        <f t="shared" si="40"/>
        <v>30.500000000000163</v>
      </c>
      <c r="D316" s="231">
        <f>15+[1]!STEPLOAD(5)</f>
        <v>20</v>
      </c>
      <c r="E316" s="212">
        <f t="shared" si="42"/>
        <v>40.794284712269508</v>
      </c>
      <c r="F316" s="212">
        <f t="shared" si="43"/>
        <v>0.5</v>
      </c>
      <c r="G316" s="212">
        <f>5</f>
        <v>5</v>
      </c>
      <c r="H316" s="212">
        <f t="shared" si="41"/>
        <v>48.368363544521848</v>
      </c>
      <c r="I316" s="212">
        <f t="shared" si="44"/>
        <v>0.9</v>
      </c>
      <c r="J316" s="212">
        <f>1</f>
        <v>1</v>
      </c>
      <c r="K316" s="212">
        <f t="shared" si="45"/>
        <v>4.1870000000000003</v>
      </c>
      <c r="L316" s="212"/>
      <c r="M316" s="212"/>
      <c r="N316" s="212"/>
      <c r="O316" s="212"/>
      <c r="P316" s="212"/>
      <c r="Q316" s="212"/>
      <c r="R316" s="212"/>
      <c r="S316" s="212"/>
      <c r="T316" s="212"/>
      <c r="U316" s="212"/>
      <c r="V316" s="212"/>
      <c r="W316" s="212"/>
      <c r="X316" s="212"/>
      <c r="Y316" s="212"/>
      <c r="Z316" s="212"/>
      <c r="AA316" s="212"/>
      <c r="AB316" s="212"/>
      <c r="AC316" s="196"/>
      <c r="AD316" s="27"/>
      <c r="AE316" s="213"/>
      <c r="AF316" s="212">
        <f t="shared" si="46"/>
        <v>-6.2472178961048286E-5</v>
      </c>
      <c r="AG316" s="212"/>
      <c r="AH316" s="212"/>
      <c r="AI316" s="212"/>
      <c r="AJ316" s="212"/>
      <c r="AK316" s="212"/>
      <c r="AL316" s="212"/>
      <c r="AM316" s="212"/>
      <c r="AN316" s="212"/>
      <c r="AO316" s="212"/>
      <c r="AP316" s="196"/>
      <c r="AQ316" s="196"/>
      <c r="AR316" s="211"/>
      <c r="AS316" s="212">
        <f t="shared" si="38"/>
        <v>-1.6004066693398045E-6</v>
      </c>
      <c r="AT316" s="212">
        <f>[1]!LIM(AT315+Mode*r0*((1+IntegrationStep/2/Ti+Td/IntegrationStep)*AS316-(1-IntegrationStep/2/Ti+2*Td/IntegrationStep)*AS315+Td/IntegrationStep*AS314))</f>
        <v>0.40306969620434874</v>
      </c>
      <c r="AU316" s="212">
        <f t="shared" si="39"/>
        <v>40.794124671602574</v>
      </c>
      <c r="AW316" s="58"/>
      <c r="AX316" s="58"/>
      <c r="AY316" s="58"/>
      <c r="AZ316" s="58"/>
    </row>
    <row r="317" spans="1:52" s="185" customFormat="1" ht="15" customHeight="1" x14ac:dyDescent="0.25">
      <c r="A317" s="200"/>
      <c r="B317" s="211"/>
      <c r="C317" s="212">
        <f t="shared" si="40"/>
        <v>30.600000000000165</v>
      </c>
      <c r="D317" s="231">
        <f>15+[1]!STEPLOAD(5)</f>
        <v>20</v>
      </c>
      <c r="E317" s="212">
        <f t="shared" si="42"/>
        <v>40.794278465051612</v>
      </c>
      <c r="F317" s="212">
        <f t="shared" si="43"/>
        <v>0.5</v>
      </c>
      <c r="G317" s="212">
        <f>5</f>
        <v>5</v>
      </c>
      <c r="H317" s="212">
        <f t="shared" si="41"/>
        <v>48.368405381767893</v>
      </c>
      <c r="I317" s="212">
        <f t="shared" si="44"/>
        <v>0.9</v>
      </c>
      <c r="J317" s="212">
        <f>1</f>
        <v>1</v>
      </c>
      <c r="K317" s="212">
        <f t="shared" si="45"/>
        <v>4.1870000000000003</v>
      </c>
      <c r="L317" s="212"/>
      <c r="M317" s="212"/>
      <c r="N317" s="212"/>
      <c r="O317" s="212"/>
      <c r="P317" s="212"/>
      <c r="Q317" s="212"/>
      <c r="R317" s="212"/>
      <c r="S317" s="212"/>
      <c r="T317" s="212"/>
      <c r="U317" s="212"/>
      <c r="V317" s="212"/>
      <c r="W317" s="212"/>
      <c r="X317" s="212"/>
      <c r="Y317" s="212"/>
      <c r="Z317" s="212"/>
      <c r="AA317" s="212"/>
      <c r="AB317" s="212"/>
      <c r="AC317" s="196"/>
      <c r="AD317" s="27"/>
      <c r="AE317" s="213"/>
      <c r="AF317" s="212">
        <f t="shared" si="46"/>
        <v>-6.0048865271333796E-5</v>
      </c>
      <c r="AG317" s="212"/>
      <c r="AH317" s="212"/>
      <c r="AI317" s="212"/>
      <c r="AJ317" s="212"/>
      <c r="AK317" s="212"/>
      <c r="AL317" s="212"/>
      <c r="AM317" s="212"/>
      <c r="AN317" s="212"/>
      <c r="AO317" s="212"/>
      <c r="AP317" s="196"/>
      <c r="AQ317" s="196"/>
      <c r="AR317" s="211"/>
      <c r="AS317" s="212">
        <f t="shared" si="38"/>
        <v>-1.5379344903720949E-6</v>
      </c>
      <c r="AT317" s="212">
        <f>[1]!LIM(AT316+Mode*r0*((1+IntegrationStep/2/Ti+Td/IntegrationStep)*AS317-(1-IntegrationStep/2/Ti+2*Td/IntegrationStep)*AS316+Td/IntegrationStep*AS315))</f>
        <v>0.4030700448480658</v>
      </c>
      <c r="AU317" s="212">
        <f t="shared" si="39"/>
        <v>40.794124671602574</v>
      </c>
      <c r="AW317" s="58"/>
      <c r="AX317" s="58"/>
      <c r="AY317" s="58"/>
      <c r="AZ317" s="58"/>
    </row>
    <row r="318" spans="1:52" s="185" customFormat="1" ht="15" customHeight="1" x14ac:dyDescent="0.25">
      <c r="A318" s="200"/>
      <c r="B318" s="211"/>
      <c r="C318" s="212">
        <f t="shared" si="40"/>
        <v>30.700000000000166</v>
      </c>
      <c r="D318" s="231">
        <f>15+[1]!STEPLOAD(5)</f>
        <v>20</v>
      </c>
      <c r="E318" s="212">
        <f t="shared" si="42"/>
        <v>40.794272460165082</v>
      </c>
      <c r="F318" s="212">
        <f t="shared" si="43"/>
        <v>0.5</v>
      </c>
      <c r="G318" s="212">
        <f>5</f>
        <v>5</v>
      </c>
      <c r="H318" s="212">
        <f t="shared" si="41"/>
        <v>48.36844561377282</v>
      </c>
      <c r="I318" s="212">
        <f t="shared" si="44"/>
        <v>0.9</v>
      </c>
      <c r="J318" s="212">
        <f>1</f>
        <v>1</v>
      </c>
      <c r="K318" s="212">
        <f t="shared" si="45"/>
        <v>4.1870000000000003</v>
      </c>
      <c r="L318" s="212"/>
      <c r="M318" s="212"/>
      <c r="N318" s="212"/>
      <c r="O318" s="212"/>
      <c r="P318" s="212"/>
      <c r="Q318" s="212"/>
      <c r="R318" s="212"/>
      <c r="S318" s="212"/>
      <c r="T318" s="212"/>
      <c r="U318" s="212"/>
      <c r="V318" s="212"/>
      <c r="W318" s="212"/>
      <c r="X318" s="212"/>
      <c r="Y318" s="212"/>
      <c r="Z318" s="212"/>
      <c r="AA318" s="212"/>
      <c r="AB318" s="212"/>
      <c r="AC318" s="196"/>
      <c r="AD318" s="27"/>
      <c r="AE318" s="213"/>
      <c r="AF318" s="212">
        <f t="shared" si="46"/>
        <v>-5.7718794366667936E-5</v>
      </c>
      <c r="AG318" s="212"/>
      <c r="AH318" s="212"/>
      <c r="AI318" s="212"/>
      <c r="AJ318" s="212"/>
      <c r="AK318" s="212"/>
      <c r="AL318" s="212"/>
      <c r="AM318" s="212"/>
      <c r="AN318" s="212"/>
      <c r="AO318" s="212"/>
      <c r="AP318" s="196"/>
      <c r="AQ318" s="196"/>
      <c r="AR318" s="211"/>
      <c r="AS318" s="212">
        <f t="shared" si="38"/>
        <v>-1.4778856250785565E-6</v>
      </c>
      <c r="AT318" s="212">
        <f>[1]!LIM(AT317+Mode*r0*((1+IntegrationStep/2/Ti+Td/IntegrationStep)*AS318-(1-IntegrationStep/2/Ti+2*Td/IntegrationStep)*AS317+Td/IntegrationStep*AS316))</f>
        <v>0.40307038011477353</v>
      </c>
      <c r="AU318" s="212">
        <f t="shared" si="39"/>
        <v>40.794124671602574</v>
      </c>
      <c r="AW318" s="58"/>
      <c r="AX318" s="58"/>
      <c r="AY318" s="58"/>
      <c r="AZ318" s="58"/>
    </row>
    <row r="319" spans="1:52" s="185" customFormat="1" ht="15" customHeight="1" x14ac:dyDescent="0.25">
      <c r="A319" s="200"/>
      <c r="B319" s="211"/>
      <c r="C319" s="212">
        <f t="shared" si="40"/>
        <v>30.800000000000168</v>
      </c>
      <c r="D319" s="231">
        <f>15+[1]!STEPLOAD(5)</f>
        <v>20</v>
      </c>
      <c r="E319" s="212">
        <f t="shared" si="42"/>
        <v>40.794266688285646</v>
      </c>
      <c r="F319" s="212">
        <f t="shared" si="43"/>
        <v>0.5</v>
      </c>
      <c r="G319" s="212">
        <f>5</f>
        <v>5</v>
      </c>
      <c r="H319" s="212">
        <f t="shared" si="41"/>
        <v>48.368484301422427</v>
      </c>
      <c r="I319" s="212">
        <f t="shared" si="44"/>
        <v>0.9</v>
      </c>
      <c r="J319" s="212">
        <f>1</f>
        <v>1</v>
      </c>
      <c r="K319" s="212">
        <f t="shared" si="45"/>
        <v>4.1870000000000003</v>
      </c>
      <c r="L319" s="212"/>
      <c r="M319" s="212"/>
      <c r="N319" s="212"/>
      <c r="O319" s="212"/>
      <c r="P319" s="212"/>
      <c r="Q319" s="212"/>
      <c r="R319" s="212"/>
      <c r="S319" s="212"/>
      <c r="T319" s="212"/>
      <c r="U319" s="212"/>
      <c r="V319" s="212"/>
      <c r="W319" s="212"/>
      <c r="X319" s="212"/>
      <c r="Y319" s="212"/>
      <c r="Z319" s="212"/>
      <c r="AA319" s="212"/>
      <c r="AB319" s="212"/>
      <c r="AC319" s="196"/>
      <c r="AD319" s="27"/>
      <c r="AE319" s="213"/>
      <c r="AF319" s="212">
        <f t="shared" si="46"/>
        <v>-5.5478416327581215E-5</v>
      </c>
      <c r="AG319" s="212"/>
      <c r="AH319" s="212"/>
      <c r="AI319" s="212"/>
      <c r="AJ319" s="212"/>
      <c r="AK319" s="212"/>
      <c r="AL319" s="212"/>
      <c r="AM319" s="212"/>
      <c r="AN319" s="212"/>
      <c r="AO319" s="212"/>
      <c r="AP319" s="196"/>
      <c r="AQ319" s="196"/>
      <c r="AR319" s="211"/>
      <c r="AS319" s="212">
        <f t="shared" si="38"/>
        <v>-1.4201668307123328E-6</v>
      </c>
      <c r="AT319" s="212">
        <f>[1]!LIM(AT318+Mode*r0*((1+IntegrationStep/2/Ti+Td/IntegrationStep)*AS319-(1-IntegrationStep/2/Ti+2*Td/IntegrationStep)*AS318+Td/IntegrationStep*AS317))</f>
        <v>0.40307070251185356</v>
      </c>
      <c r="AU319" s="212">
        <f t="shared" si="39"/>
        <v>40.794124671602574</v>
      </c>
      <c r="AW319" s="58"/>
      <c r="AX319" s="58"/>
      <c r="AY319" s="58"/>
      <c r="AZ319" s="58"/>
    </row>
    <row r="320" spans="1:52" s="185" customFormat="1" ht="15" customHeight="1" x14ac:dyDescent="0.25">
      <c r="A320" s="200"/>
      <c r="B320" s="211"/>
      <c r="C320" s="212">
        <f t="shared" si="40"/>
        <v>30.900000000000169</v>
      </c>
      <c r="D320" s="231">
        <f>15+[1]!STEPLOAD(5)</f>
        <v>20</v>
      </c>
      <c r="E320" s="212">
        <f t="shared" si="42"/>
        <v>40.794261140444014</v>
      </c>
      <c r="F320" s="212">
        <f t="shared" si="43"/>
        <v>0.5</v>
      </c>
      <c r="G320" s="212">
        <f>5</f>
        <v>5</v>
      </c>
      <c r="H320" s="212">
        <f t="shared" si="41"/>
        <v>48.368521503328779</v>
      </c>
      <c r="I320" s="212">
        <f t="shared" si="44"/>
        <v>0.9</v>
      </c>
      <c r="J320" s="212">
        <f>1</f>
        <v>1</v>
      </c>
      <c r="K320" s="212">
        <f t="shared" si="45"/>
        <v>4.1870000000000003</v>
      </c>
      <c r="L320" s="212"/>
      <c r="M320" s="212"/>
      <c r="N320" s="212"/>
      <c r="O320" s="212"/>
      <c r="P320" s="212"/>
      <c r="Q320" s="212"/>
      <c r="R320" s="212"/>
      <c r="S320" s="212"/>
      <c r="T320" s="212"/>
      <c r="U320" s="212"/>
      <c r="V320" s="212"/>
      <c r="W320" s="212"/>
      <c r="X320" s="212"/>
      <c r="Y320" s="212"/>
      <c r="Z320" s="212"/>
      <c r="AA320" s="212"/>
      <c r="AB320" s="212"/>
      <c r="AC320" s="196"/>
      <c r="AD320" s="27"/>
      <c r="AE320" s="213"/>
      <c r="AF320" s="212">
        <f t="shared" si="46"/>
        <v>-5.3324314480462931E-5</v>
      </c>
      <c r="AG320" s="212"/>
      <c r="AH320" s="212"/>
      <c r="AI320" s="212"/>
      <c r="AJ320" s="212"/>
      <c r="AK320" s="212"/>
      <c r="AL320" s="212"/>
      <c r="AM320" s="212"/>
      <c r="AN320" s="212"/>
      <c r="AO320" s="212"/>
      <c r="AP320" s="196"/>
      <c r="AQ320" s="196"/>
      <c r="AR320" s="211"/>
      <c r="AS320" s="212">
        <f t="shared" si="38"/>
        <v>-1.3646884143980743E-6</v>
      </c>
      <c r="AT320" s="212">
        <f>[1]!LIM(AT319+Mode*r0*((1+IntegrationStep/2/Ti+Td/IntegrationStep)*AS320-(1-IntegrationStep/2/Ti+2*Td/IntegrationStep)*AS319+Td/IntegrationStep*AS318))</f>
        <v>0.4030710125277398</v>
      </c>
      <c r="AU320" s="212">
        <f t="shared" si="39"/>
        <v>40.794124671602574</v>
      </c>
      <c r="AW320" s="58"/>
      <c r="AX320" s="58"/>
      <c r="AY320" s="58"/>
      <c r="AZ320" s="58"/>
    </row>
    <row r="321" spans="1:52" s="185" customFormat="1" ht="15" customHeight="1" x14ac:dyDescent="0.25">
      <c r="A321" s="200"/>
      <c r="B321" s="211"/>
      <c r="C321" s="212">
        <f t="shared" si="40"/>
        <v>31.000000000000171</v>
      </c>
      <c r="D321" s="231">
        <f>15+[1]!STEPLOAD(5)</f>
        <v>20</v>
      </c>
      <c r="E321" s="212">
        <f t="shared" si="42"/>
        <v>40.794255808012565</v>
      </c>
      <c r="F321" s="212">
        <f t="shared" si="43"/>
        <v>0.5</v>
      </c>
      <c r="G321" s="212">
        <f>5</f>
        <v>5</v>
      </c>
      <c r="H321" s="212">
        <f t="shared" si="41"/>
        <v>48.36855727591329</v>
      </c>
      <c r="I321" s="212">
        <f t="shared" si="44"/>
        <v>0.9</v>
      </c>
      <c r="J321" s="212">
        <f>1</f>
        <v>1</v>
      </c>
      <c r="K321" s="212">
        <f t="shared" si="45"/>
        <v>4.1870000000000003</v>
      </c>
      <c r="L321" s="212"/>
      <c r="M321" s="212"/>
      <c r="N321" s="212"/>
      <c r="O321" s="212"/>
      <c r="P321" s="212"/>
      <c r="Q321" s="212"/>
      <c r="R321" s="212"/>
      <c r="S321" s="212"/>
      <c r="T321" s="212"/>
      <c r="U321" s="212"/>
      <c r="V321" s="212"/>
      <c r="W321" s="212"/>
      <c r="X321" s="212"/>
      <c r="Y321" s="212"/>
      <c r="Z321" s="212"/>
      <c r="AA321" s="212"/>
      <c r="AB321" s="212"/>
      <c r="AC321" s="196"/>
      <c r="AD321" s="27"/>
      <c r="AE321" s="213"/>
      <c r="AF321" s="212">
        <f t="shared" si="46"/>
        <v>-5.1253200493928119E-5</v>
      </c>
      <c r="AG321" s="212"/>
      <c r="AH321" s="212"/>
      <c r="AI321" s="212"/>
      <c r="AJ321" s="212"/>
      <c r="AK321" s="212"/>
      <c r="AL321" s="212"/>
      <c r="AM321" s="212"/>
      <c r="AN321" s="212"/>
      <c r="AO321" s="212"/>
      <c r="AP321" s="196"/>
      <c r="AQ321" s="196"/>
      <c r="AR321" s="211"/>
      <c r="AS321" s="212">
        <f t="shared" si="38"/>
        <v>-1.3113640999051768E-6</v>
      </c>
      <c r="AT321" s="212">
        <f>[1]!LIM(AT320+Mode*r0*((1+IntegrationStep/2/Ti+Td/IntegrationStep)*AS321-(1-IntegrationStep/2/Ti+2*Td/IntegrationStep)*AS320+Td/IntegrationStep*AS319))</f>
        <v>0.40307131063261076</v>
      </c>
      <c r="AU321" s="212">
        <f t="shared" si="39"/>
        <v>40.794124671602574</v>
      </c>
      <c r="AW321" s="58"/>
      <c r="AX321" s="58"/>
      <c r="AY321" s="58"/>
      <c r="AZ321" s="58"/>
    </row>
    <row r="322" spans="1:52" s="185" customFormat="1" ht="15" customHeight="1" x14ac:dyDescent="0.25">
      <c r="A322" s="200"/>
      <c r="B322" s="211"/>
      <c r="C322" s="212">
        <f t="shared" si="40"/>
        <v>31.100000000000172</v>
      </c>
      <c r="D322" s="231">
        <f>15+[1]!STEPLOAD(5)</f>
        <v>20</v>
      </c>
      <c r="E322" s="212">
        <f t="shared" si="42"/>
        <v>40.794250682692514</v>
      </c>
      <c r="F322" s="212">
        <f t="shared" si="43"/>
        <v>0.5</v>
      </c>
      <c r="G322" s="212">
        <f>5</f>
        <v>5</v>
      </c>
      <c r="H322" s="212">
        <f t="shared" si="41"/>
        <v>48.368591673486726</v>
      </c>
      <c r="I322" s="212">
        <f t="shared" si="44"/>
        <v>0.9</v>
      </c>
      <c r="J322" s="212">
        <f>1</f>
        <v>1</v>
      </c>
      <c r="K322" s="212">
        <f t="shared" si="45"/>
        <v>4.1870000000000003</v>
      </c>
      <c r="L322" s="212"/>
      <c r="M322" s="212"/>
      <c r="N322" s="212"/>
      <c r="O322" s="212"/>
      <c r="P322" s="212"/>
      <c r="Q322" s="212"/>
      <c r="R322" s="212"/>
      <c r="S322" s="212"/>
      <c r="T322" s="212"/>
      <c r="U322" s="212"/>
      <c r="V322" s="212"/>
      <c r="W322" s="212"/>
      <c r="X322" s="212"/>
      <c r="Y322" s="212"/>
      <c r="Z322" s="212"/>
      <c r="AA322" s="212"/>
      <c r="AB322" s="212"/>
      <c r="AC322" s="196"/>
      <c r="AD322" s="27"/>
      <c r="AE322" s="213"/>
      <c r="AF322" s="212">
        <f t="shared" si="46"/>
        <v>-4.9261909659925607E-5</v>
      </c>
      <c r="AG322" s="212"/>
      <c r="AH322" s="212"/>
      <c r="AI322" s="212"/>
      <c r="AJ322" s="212"/>
      <c r="AK322" s="212"/>
      <c r="AL322" s="212"/>
      <c r="AM322" s="212"/>
      <c r="AN322" s="212"/>
      <c r="AO322" s="212"/>
      <c r="AP322" s="196"/>
      <c r="AQ322" s="196"/>
      <c r="AR322" s="211"/>
      <c r="AS322" s="212">
        <f t="shared" si="38"/>
        <v>-1.2601108993948174E-6</v>
      </c>
      <c r="AT322" s="212">
        <f>[1]!LIM(AT321+Mode*r0*((1+IntegrationStep/2/Ti+Td/IntegrationStep)*AS322-(1-IntegrationStep/2/Ti+2*Td/IntegrationStep)*AS321+Td/IntegrationStep*AS320))</f>
        <v>0.40307159727905606</v>
      </c>
      <c r="AU322" s="212">
        <f t="shared" si="39"/>
        <v>40.794124671602574</v>
      </c>
      <c r="AW322" s="58"/>
      <c r="AX322" s="58"/>
      <c r="AY322" s="58"/>
      <c r="AZ322" s="58"/>
    </row>
    <row r="323" spans="1:52" s="185" customFormat="1" ht="15" customHeight="1" x14ac:dyDescent="0.25">
      <c r="A323" s="200"/>
      <c r="B323" s="211"/>
      <c r="C323" s="212">
        <f t="shared" si="40"/>
        <v>31.200000000000173</v>
      </c>
      <c r="D323" s="231">
        <f>15+[1]!STEPLOAD(5)</f>
        <v>20</v>
      </c>
      <c r="E323" s="212">
        <f t="shared" si="42"/>
        <v>40.794245756501546</v>
      </c>
      <c r="F323" s="212">
        <f t="shared" si="43"/>
        <v>0.5</v>
      </c>
      <c r="G323" s="212">
        <f>5</f>
        <v>5</v>
      </c>
      <c r="H323" s="212">
        <f t="shared" si="41"/>
        <v>48.368624748326646</v>
      </c>
      <c r="I323" s="212">
        <f t="shared" si="44"/>
        <v>0.9</v>
      </c>
      <c r="J323" s="212">
        <f>1</f>
        <v>1</v>
      </c>
      <c r="K323" s="212">
        <f t="shared" si="45"/>
        <v>4.1870000000000003</v>
      </c>
      <c r="L323" s="212"/>
      <c r="M323" s="212"/>
      <c r="N323" s="212"/>
      <c r="O323" s="212"/>
      <c r="P323" s="212"/>
      <c r="Q323" s="212"/>
      <c r="R323" s="212"/>
      <c r="S323" s="212"/>
      <c r="T323" s="212"/>
      <c r="U323" s="212"/>
      <c r="V323" s="212"/>
      <c r="W323" s="212"/>
      <c r="X323" s="212"/>
      <c r="Y323" s="212"/>
      <c r="Z323" s="212"/>
      <c r="AA323" s="212"/>
      <c r="AB323" s="212"/>
      <c r="AC323" s="196"/>
      <c r="AD323" s="27"/>
      <c r="AE323" s="213"/>
      <c r="AF323" s="212">
        <f t="shared" si="46"/>
        <v>-4.7347396322283686E-5</v>
      </c>
      <c r="AG323" s="212"/>
      <c r="AH323" s="212"/>
      <c r="AI323" s="212"/>
      <c r="AJ323" s="212"/>
      <c r="AK323" s="212"/>
      <c r="AL323" s="212"/>
      <c r="AM323" s="212"/>
      <c r="AN323" s="212"/>
      <c r="AO323" s="212"/>
      <c r="AP323" s="196"/>
      <c r="AQ323" s="196"/>
      <c r="AR323" s="211"/>
      <c r="AS323" s="212">
        <f t="shared" si="38"/>
        <v>-1.2108489897144637E-6</v>
      </c>
      <c r="AT323" s="212">
        <f>[1]!LIM(AT322+Mode*r0*((1+IntegrationStep/2/Ti+Td/IntegrationStep)*AS323-(1-IntegrationStep/2/Ti+2*Td/IntegrationStep)*AS322+Td/IntegrationStep*AS321))</f>
        <v>0.40307187290272206</v>
      </c>
      <c r="AU323" s="212">
        <f t="shared" si="39"/>
        <v>40.794124671602574</v>
      </c>
      <c r="AW323" s="58"/>
      <c r="AX323" s="58"/>
      <c r="AY323" s="58"/>
      <c r="AZ323" s="58"/>
    </row>
    <row r="324" spans="1:52" s="185" customFormat="1" ht="15" customHeight="1" x14ac:dyDescent="0.25">
      <c r="A324" s="200"/>
      <c r="B324" s="211"/>
      <c r="C324" s="212">
        <f t="shared" si="40"/>
        <v>31.300000000000175</v>
      </c>
      <c r="D324" s="231">
        <f>15+[1]!STEPLOAD(5)</f>
        <v>20</v>
      </c>
      <c r="E324" s="212">
        <f t="shared" si="42"/>
        <v>40.794241021761913</v>
      </c>
      <c r="F324" s="212">
        <f t="shared" si="43"/>
        <v>0.5</v>
      </c>
      <c r="G324" s="212">
        <f>5</f>
        <v>5</v>
      </c>
      <c r="H324" s="212">
        <f t="shared" si="41"/>
        <v>48.368656550751929</v>
      </c>
      <c r="I324" s="212">
        <f t="shared" si="44"/>
        <v>0.9</v>
      </c>
      <c r="J324" s="212">
        <f>1</f>
        <v>1</v>
      </c>
      <c r="K324" s="212">
        <f t="shared" si="45"/>
        <v>4.1870000000000003</v>
      </c>
      <c r="L324" s="212"/>
      <c r="M324" s="212"/>
      <c r="N324" s="212"/>
      <c r="O324" s="212"/>
      <c r="P324" s="212"/>
      <c r="Q324" s="212"/>
      <c r="R324" s="212"/>
      <c r="S324" s="212"/>
      <c r="T324" s="212"/>
      <c r="U324" s="212"/>
      <c r="V324" s="212"/>
      <c r="W324" s="212"/>
      <c r="X324" s="212"/>
      <c r="Y324" s="212"/>
      <c r="Z324" s="212"/>
      <c r="AA324" s="212"/>
      <c r="AB324" s="212"/>
      <c r="AC324" s="196"/>
      <c r="AD324" s="27"/>
      <c r="AE324" s="213"/>
      <c r="AF324" s="212">
        <f t="shared" si="46"/>
        <v>-4.5506729488220543E-5</v>
      </c>
      <c r="AG324" s="212"/>
      <c r="AH324" s="212"/>
      <c r="AI324" s="212"/>
      <c r="AJ324" s="212"/>
      <c r="AK324" s="212"/>
      <c r="AL324" s="212"/>
      <c r="AM324" s="212"/>
      <c r="AN324" s="212"/>
      <c r="AO324" s="212"/>
      <c r="AP324" s="196"/>
      <c r="AQ324" s="196"/>
      <c r="AR324" s="211"/>
      <c r="AS324" s="212">
        <f t="shared" si="38"/>
        <v>-1.1635015933819658E-6</v>
      </c>
      <c r="AT324" s="212">
        <f>[1]!LIM(AT323+Mode*r0*((1+IntegrationStep/2/Ti+Td/IntegrationStep)*AS324-(1-IntegrationStep/2/Ti+2*Td/IntegrationStep)*AS323+Td/IntegrationStep*AS322))</f>
        <v>0.40307213792293273</v>
      </c>
      <c r="AU324" s="212">
        <f t="shared" si="39"/>
        <v>40.794124671602574</v>
      </c>
      <c r="AW324" s="58"/>
      <c r="AX324" s="58"/>
      <c r="AY324" s="58"/>
      <c r="AZ324" s="58"/>
    </row>
    <row r="325" spans="1:52" s="185" customFormat="1" ht="15" customHeight="1" x14ac:dyDescent="0.25">
      <c r="A325" s="200"/>
      <c r="B325" s="211"/>
      <c r="C325" s="212">
        <f t="shared" si="40"/>
        <v>31.400000000000176</v>
      </c>
      <c r="D325" s="231">
        <f>15+[1]!STEPLOAD(5)</f>
        <v>20</v>
      </c>
      <c r="E325" s="212">
        <f t="shared" si="42"/>
        <v>40.794236471088965</v>
      </c>
      <c r="F325" s="212">
        <f t="shared" si="43"/>
        <v>0.5</v>
      </c>
      <c r="G325" s="212">
        <f>5</f>
        <v>5</v>
      </c>
      <c r="H325" s="212">
        <f t="shared" si="41"/>
        <v>48.368687129194697</v>
      </c>
      <c r="I325" s="212">
        <f t="shared" si="44"/>
        <v>0.9</v>
      </c>
      <c r="J325" s="212">
        <f>1</f>
        <v>1</v>
      </c>
      <c r="K325" s="212">
        <f t="shared" si="45"/>
        <v>4.1870000000000003</v>
      </c>
      <c r="L325" s="212"/>
      <c r="M325" s="212"/>
      <c r="N325" s="212"/>
      <c r="O325" s="212"/>
      <c r="P325" s="212"/>
      <c r="Q325" s="212"/>
      <c r="R325" s="212"/>
      <c r="S325" s="212"/>
      <c r="T325" s="212"/>
      <c r="U325" s="212"/>
      <c r="V325" s="212"/>
      <c r="W325" s="212"/>
      <c r="X325" s="212"/>
      <c r="Y325" s="212"/>
      <c r="Z325" s="212"/>
      <c r="AA325" s="212"/>
      <c r="AB325" s="212"/>
      <c r="AC325" s="196"/>
      <c r="AD325" s="27"/>
      <c r="AE325" s="213"/>
      <c r="AF325" s="212">
        <f t="shared" si="46"/>
        <v>-4.3737088585071859E-5</v>
      </c>
      <c r="AG325" s="212"/>
      <c r="AH325" s="212"/>
      <c r="AI325" s="212"/>
      <c r="AJ325" s="212"/>
      <c r="AK325" s="212"/>
      <c r="AL325" s="212"/>
      <c r="AM325" s="212"/>
      <c r="AN325" s="212"/>
      <c r="AO325" s="212"/>
      <c r="AP325" s="196"/>
      <c r="AQ325" s="196"/>
      <c r="AR325" s="211"/>
      <c r="AS325" s="212">
        <f t="shared" si="38"/>
        <v>-1.1179948639039593E-6</v>
      </c>
      <c r="AT325" s="212">
        <f>[1]!LIM(AT324+Mode*r0*((1+IntegrationStep/2/Ti+Td/IntegrationStep)*AS325-(1-IntegrationStep/2/Ti+2*Td/IntegrationStep)*AS324+Td/IntegrationStep*AS323))</f>
        <v>0.40307239274328915</v>
      </c>
      <c r="AU325" s="212">
        <f t="shared" si="39"/>
        <v>40.794124671602574</v>
      </c>
      <c r="AW325" s="58"/>
      <c r="AX325" s="58"/>
      <c r="AY325" s="58"/>
      <c r="AZ325" s="58"/>
    </row>
    <row r="326" spans="1:52" s="185" customFormat="1" ht="15" customHeight="1" x14ac:dyDescent="0.25">
      <c r="A326" s="200"/>
      <c r="B326" s="211"/>
      <c r="C326" s="212">
        <f t="shared" si="40"/>
        <v>31.500000000000178</v>
      </c>
      <c r="D326" s="231">
        <f>15+[1]!STEPLOAD(5)</f>
        <v>20</v>
      </c>
      <c r="E326" s="212">
        <f t="shared" si="42"/>
        <v>40.794232097380103</v>
      </c>
      <c r="F326" s="212">
        <f t="shared" si="43"/>
        <v>0.5</v>
      </c>
      <c r="G326" s="212">
        <f>5</f>
        <v>5</v>
      </c>
      <c r="H326" s="212">
        <f t="shared" si="41"/>
        <v>48.368716530269829</v>
      </c>
      <c r="I326" s="212">
        <f t="shared" si="44"/>
        <v>0.9</v>
      </c>
      <c r="J326" s="212">
        <f>1</f>
        <v>1</v>
      </c>
      <c r="K326" s="212">
        <f t="shared" si="45"/>
        <v>4.1870000000000003</v>
      </c>
      <c r="L326" s="212"/>
      <c r="M326" s="212"/>
      <c r="N326" s="212"/>
      <c r="O326" s="212"/>
      <c r="P326" s="212"/>
      <c r="Q326" s="212"/>
      <c r="R326" s="212"/>
      <c r="S326" s="212"/>
      <c r="T326" s="212"/>
      <c r="U326" s="212"/>
      <c r="V326" s="212"/>
      <c r="W326" s="212"/>
      <c r="X326" s="212"/>
      <c r="Y326" s="212"/>
      <c r="Z326" s="212"/>
      <c r="AA326" s="212"/>
      <c r="AB326" s="212"/>
      <c r="AC326" s="196"/>
      <c r="AD326" s="27"/>
      <c r="AE326" s="213"/>
      <c r="AF326" s="212">
        <f t="shared" si="46"/>
        <v>-4.2035759369785097E-5</v>
      </c>
      <c r="AG326" s="212"/>
      <c r="AH326" s="212"/>
      <c r="AI326" s="212"/>
      <c r="AJ326" s="212"/>
      <c r="AK326" s="212"/>
      <c r="AL326" s="212"/>
      <c r="AM326" s="212"/>
      <c r="AN326" s="212"/>
      <c r="AO326" s="212"/>
      <c r="AP326" s="196"/>
      <c r="AQ326" s="196"/>
      <c r="AR326" s="211"/>
      <c r="AS326" s="212">
        <f t="shared" si="38"/>
        <v>-1.0742577752864689E-6</v>
      </c>
      <c r="AT326" s="212">
        <f>[1]!LIM(AT325+Mode*r0*((1+IntegrationStep/2/Ti+Td/IntegrationStep)*AS326-(1-IntegrationStep/2/Ti+2*Td/IntegrationStep)*AS325+Td/IntegrationStep*AS324))</f>
        <v>0.40307263775224855</v>
      </c>
      <c r="AU326" s="212">
        <f t="shared" si="39"/>
        <v>40.794124671602574</v>
      </c>
      <c r="AW326" s="58"/>
      <c r="AX326" s="58"/>
      <c r="AY326" s="58"/>
      <c r="AZ326" s="58"/>
    </row>
    <row r="327" spans="1:52" s="185" customFormat="1" ht="15" customHeight="1" x14ac:dyDescent="0.25">
      <c r="A327" s="200"/>
      <c r="B327" s="211"/>
      <c r="C327" s="212">
        <f t="shared" si="40"/>
        <v>31.600000000000179</v>
      </c>
      <c r="D327" s="231">
        <f>15+[1]!STEPLOAD(5)</f>
        <v>20</v>
      </c>
      <c r="E327" s="212">
        <f t="shared" si="42"/>
        <v>40.79422789380417</v>
      </c>
      <c r="F327" s="212">
        <f t="shared" si="43"/>
        <v>0.5</v>
      </c>
      <c r="G327" s="212">
        <f>5</f>
        <v>5</v>
      </c>
      <c r="H327" s="212">
        <f t="shared" si="41"/>
        <v>48.368744798841327</v>
      </c>
      <c r="I327" s="212">
        <f t="shared" si="44"/>
        <v>0.9</v>
      </c>
      <c r="J327" s="212">
        <f>1</f>
        <v>1</v>
      </c>
      <c r="K327" s="212">
        <f t="shared" si="45"/>
        <v>4.1870000000000003</v>
      </c>
      <c r="L327" s="212"/>
      <c r="M327" s="212"/>
      <c r="N327" s="212"/>
      <c r="O327" s="212"/>
      <c r="P327" s="212"/>
      <c r="Q327" s="212"/>
      <c r="R327" s="212"/>
      <c r="S327" s="212"/>
      <c r="T327" s="212"/>
      <c r="U327" s="212"/>
      <c r="V327" s="212"/>
      <c r="W327" s="212"/>
      <c r="X327" s="212"/>
      <c r="Y327" s="212"/>
      <c r="Z327" s="212"/>
      <c r="AA327" s="212"/>
      <c r="AB327" s="212"/>
      <c r="AC327" s="196"/>
      <c r="AD327" s="27"/>
      <c r="AE327" s="213"/>
      <c r="AF327" s="212">
        <f t="shared" si="46"/>
        <v>-4.0400130013829028E-5</v>
      </c>
      <c r="AG327" s="212"/>
      <c r="AH327" s="212"/>
      <c r="AI327" s="212"/>
      <c r="AJ327" s="212"/>
      <c r="AK327" s="212"/>
      <c r="AL327" s="212"/>
      <c r="AM327" s="212"/>
      <c r="AN327" s="212"/>
      <c r="AO327" s="212"/>
      <c r="AP327" s="196"/>
      <c r="AQ327" s="196"/>
      <c r="AR327" s="211"/>
      <c r="AS327" s="212">
        <f t="shared" si="38"/>
        <v>-1.0322220159508787E-6</v>
      </c>
      <c r="AT327" s="212">
        <f>[1]!LIM(AT326+Mode*r0*((1+IntegrationStep/2/Ti+Td/IntegrationStep)*AS327-(1-IntegrationStep/2/Ti+2*Td/IntegrationStep)*AS326+Td/IntegrationStep*AS325))</f>
        <v>0.40307287332367775</v>
      </c>
      <c r="AU327" s="212">
        <f t="shared" si="39"/>
        <v>40.794124671602574</v>
      </c>
      <c r="AW327" s="58"/>
      <c r="AX327" s="58"/>
      <c r="AY327" s="58"/>
      <c r="AZ327" s="58"/>
    </row>
    <row r="328" spans="1:52" s="185" customFormat="1" ht="15" customHeight="1" x14ac:dyDescent="0.25">
      <c r="A328" s="200"/>
      <c r="B328" s="211"/>
      <c r="C328" s="212">
        <f t="shared" si="40"/>
        <v>31.70000000000018</v>
      </c>
      <c r="D328" s="231">
        <f>15+[1]!STEPLOAD(5)</f>
        <v>20</v>
      </c>
      <c r="E328" s="212">
        <f t="shared" si="42"/>
        <v>40.794223853791166</v>
      </c>
      <c r="F328" s="212">
        <f t="shared" si="43"/>
        <v>0.5</v>
      </c>
      <c r="G328" s="212">
        <f>5</f>
        <v>5</v>
      </c>
      <c r="H328" s="212">
        <f t="shared" si="41"/>
        <v>48.368771978087594</v>
      </c>
      <c r="I328" s="212">
        <f t="shared" si="44"/>
        <v>0.9</v>
      </c>
      <c r="J328" s="212">
        <f>1</f>
        <v>1</v>
      </c>
      <c r="K328" s="212">
        <f t="shared" si="45"/>
        <v>4.1870000000000003</v>
      </c>
      <c r="L328" s="212"/>
      <c r="M328" s="212"/>
      <c r="N328" s="212"/>
      <c r="O328" s="212"/>
      <c r="P328" s="212"/>
      <c r="Q328" s="212"/>
      <c r="R328" s="212"/>
      <c r="S328" s="212"/>
      <c r="T328" s="212"/>
      <c r="U328" s="212"/>
      <c r="V328" s="212"/>
      <c r="W328" s="212"/>
      <c r="X328" s="212"/>
      <c r="Y328" s="212"/>
      <c r="Z328" s="212"/>
      <c r="AA328" s="212"/>
      <c r="AB328" s="212"/>
      <c r="AC328" s="196"/>
      <c r="AD328" s="27"/>
      <c r="AE328" s="213"/>
      <c r="AF328" s="212">
        <f t="shared" si="46"/>
        <v>-3.8827687268927491E-5</v>
      </c>
      <c r="AG328" s="212"/>
      <c r="AH328" s="212"/>
      <c r="AI328" s="212"/>
      <c r="AJ328" s="212"/>
      <c r="AK328" s="212"/>
      <c r="AL328" s="212"/>
      <c r="AM328" s="212"/>
      <c r="AN328" s="212"/>
      <c r="AO328" s="212"/>
      <c r="AP328" s="196"/>
      <c r="AQ328" s="196"/>
      <c r="AR328" s="211"/>
      <c r="AS328" s="212">
        <f t="shared" si="38"/>
        <v>-9.9182188591839807E-7</v>
      </c>
      <c r="AT328" s="212">
        <f>[1]!LIM(AT327+Mode*r0*((1+IntegrationStep/2/Ti+Td/IntegrationStep)*AS328-(1-IntegrationStep/2/Ti+2*Td/IntegrationStep)*AS327+Td/IntegrationStep*AS326))</f>
        <v>0.40307309981739664</v>
      </c>
      <c r="AU328" s="212">
        <f t="shared" si="39"/>
        <v>40.794124671602574</v>
      </c>
      <c r="AW328" s="58"/>
      <c r="AX328" s="58"/>
      <c r="AY328" s="58"/>
      <c r="AZ328" s="58"/>
    </row>
    <row r="329" spans="1:52" s="185" customFormat="1" ht="15" customHeight="1" x14ac:dyDescent="0.25">
      <c r="A329" s="200"/>
      <c r="B329" s="211"/>
      <c r="C329" s="212">
        <f t="shared" si="40"/>
        <v>31.800000000000182</v>
      </c>
      <c r="D329" s="231">
        <f>15+[1]!STEPLOAD(5)</f>
        <v>20</v>
      </c>
      <c r="E329" s="212">
        <f t="shared" si="42"/>
        <v>40.794219971022443</v>
      </c>
      <c r="F329" s="212">
        <f t="shared" si="43"/>
        <v>0.5</v>
      </c>
      <c r="G329" s="212">
        <f>5</f>
        <v>5</v>
      </c>
      <c r="H329" s="212">
        <f t="shared" si="41"/>
        <v>48.368798109562711</v>
      </c>
      <c r="I329" s="212">
        <f t="shared" si="44"/>
        <v>0.9</v>
      </c>
      <c r="J329" s="212">
        <f>1</f>
        <v>1</v>
      </c>
      <c r="K329" s="212">
        <f t="shared" si="45"/>
        <v>4.1870000000000003</v>
      </c>
      <c r="L329" s="212"/>
      <c r="M329" s="212"/>
      <c r="N329" s="212"/>
      <c r="O329" s="212"/>
      <c r="P329" s="212"/>
      <c r="Q329" s="212"/>
      <c r="R329" s="212"/>
      <c r="S329" s="212"/>
      <c r="T329" s="212"/>
      <c r="U329" s="212"/>
      <c r="V329" s="212"/>
      <c r="W329" s="212"/>
      <c r="X329" s="212"/>
      <c r="Y329" s="212"/>
      <c r="Z329" s="212"/>
      <c r="AA329" s="212"/>
      <c r="AB329" s="212"/>
      <c r="AC329" s="196"/>
      <c r="AD329" s="27"/>
      <c r="AE329" s="213"/>
      <c r="AF329" s="212">
        <f t="shared" si="46"/>
        <v>-3.7316012851729141E-5</v>
      </c>
      <c r="AG329" s="212"/>
      <c r="AH329" s="212"/>
      <c r="AI329" s="212"/>
      <c r="AJ329" s="212"/>
      <c r="AK329" s="212"/>
      <c r="AL329" s="212"/>
      <c r="AM329" s="212"/>
      <c r="AN329" s="212"/>
      <c r="AO329" s="212"/>
      <c r="AP329" s="196"/>
      <c r="AQ329" s="196"/>
      <c r="AR329" s="211"/>
      <c r="AS329" s="212">
        <f t="shared" si="38"/>
        <v>-9.5299419868410949E-7</v>
      </c>
      <c r="AT329" s="212">
        <f>[1]!LIM(AT328+Mode*r0*((1+IntegrationStep/2/Ti+Td/IntegrationStep)*AS329-(1-IntegrationStep/2/Ti+2*Td/IntegrationStep)*AS328+Td/IntegrationStep*AS327))</f>
        <v>0.40307331757968928</v>
      </c>
      <c r="AU329" s="212">
        <f t="shared" si="39"/>
        <v>40.794124671602574</v>
      </c>
      <c r="AW329" s="58"/>
      <c r="AX329" s="58"/>
      <c r="AY329" s="58"/>
      <c r="AZ329" s="58"/>
    </row>
    <row r="330" spans="1:52" s="185" customFormat="1" ht="15" customHeight="1" x14ac:dyDescent="0.25">
      <c r="A330" s="200"/>
      <c r="B330" s="211"/>
      <c r="C330" s="212">
        <f t="shared" si="40"/>
        <v>31.900000000000183</v>
      </c>
      <c r="D330" s="231">
        <f>15+[1]!STEPLOAD(5)</f>
        <v>20</v>
      </c>
      <c r="E330" s="212">
        <f t="shared" si="42"/>
        <v>40.794216239421161</v>
      </c>
      <c r="F330" s="212">
        <f t="shared" si="43"/>
        <v>0.5</v>
      </c>
      <c r="G330" s="212">
        <f>5</f>
        <v>5</v>
      </c>
      <c r="H330" s="212">
        <f t="shared" si="41"/>
        <v>48.368823233257139</v>
      </c>
      <c r="I330" s="212">
        <f t="shared" si="44"/>
        <v>0.9</v>
      </c>
      <c r="J330" s="212">
        <f>1</f>
        <v>1</v>
      </c>
      <c r="K330" s="212">
        <f t="shared" si="45"/>
        <v>4.1870000000000003</v>
      </c>
      <c r="L330" s="212"/>
      <c r="M330" s="212"/>
      <c r="N330" s="212"/>
      <c r="O330" s="212"/>
      <c r="P330" s="212"/>
      <c r="Q330" s="212"/>
      <c r="R330" s="212"/>
      <c r="S330" s="212"/>
      <c r="T330" s="212"/>
      <c r="U330" s="212"/>
      <c r="V330" s="212"/>
      <c r="W330" s="212"/>
      <c r="X330" s="212"/>
      <c r="Y330" s="212"/>
      <c r="Z330" s="212"/>
      <c r="AA330" s="212"/>
      <c r="AB330" s="212"/>
      <c r="AC330" s="196"/>
      <c r="AD330" s="27"/>
      <c r="AE330" s="213"/>
      <c r="AF330" s="212">
        <f t="shared" si="46"/>
        <v>-3.5862779879547446E-5</v>
      </c>
      <c r="AG330" s="212"/>
      <c r="AH330" s="212"/>
      <c r="AI330" s="212"/>
      <c r="AJ330" s="212"/>
      <c r="AK330" s="212"/>
      <c r="AL330" s="212"/>
      <c r="AM330" s="212"/>
      <c r="AN330" s="212"/>
      <c r="AO330" s="212"/>
      <c r="AP330" s="196"/>
      <c r="AQ330" s="196"/>
      <c r="AR330" s="211"/>
      <c r="AS330" s="212">
        <f t="shared" si="38"/>
        <v>-9.1567818586213431E-7</v>
      </c>
      <c r="AT330" s="212">
        <f>[1]!LIM(AT329+Mode*r0*((1+IntegrationStep/2/Ti+Td/IntegrationStep)*AS330-(1-IntegrationStep/2/Ti+2*Td/IntegrationStep)*AS329+Td/IntegrationStep*AS328))</f>
        <v>0.40307352694380949</v>
      </c>
      <c r="AU330" s="212">
        <f t="shared" si="39"/>
        <v>40.794124671602574</v>
      </c>
      <c r="AW330" s="58"/>
      <c r="AX330" s="58"/>
      <c r="AY330" s="58"/>
      <c r="AZ330" s="58"/>
    </row>
    <row r="331" spans="1:52" s="185" customFormat="1" ht="15" customHeight="1" x14ac:dyDescent="0.25">
      <c r="A331" s="200"/>
      <c r="B331" s="211"/>
      <c r="C331" s="212">
        <f t="shared" si="40"/>
        <v>32.000000000000185</v>
      </c>
      <c r="D331" s="231">
        <f>15+[1]!STEPLOAD(5)</f>
        <v>20</v>
      </c>
      <c r="E331" s="212">
        <f t="shared" si="42"/>
        <v>40.79421265314317</v>
      </c>
      <c r="F331" s="212">
        <f t="shared" si="43"/>
        <v>0.5</v>
      </c>
      <c r="G331" s="212">
        <f>5</f>
        <v>5</v>
      </c>
      <c r="H331" s="212">
        <f t="shared" si="41"/>
        <v>48.368847387655158</v>
      </c>
      <c r="I331" s="212">
        <f t="shared" si="44"/>
        <v>0.9</v>
      </c>
      <c r="J331" s="212">
        <f>1</f>
        <v>1</v>
      </c>
      <c r="K331" s="212">
        <f t="shared" si="45"/>
        <v>4.1870000000000003</v>
      </c>
      <c r="L331" s="212"/>
      <c r="M331" s="212"/>
      <c r="N331" s="212"/>
      <c r="O331" s="212"/>
      <c r="P331" s="212"/>
      <c r="Q331" s="212"/>
      <c r="R331" s="212"/>
      <c r="S331" s="212"/>
      <c r="T331" s="212"/>
      <c r="U331" s="212"/>
      <c r="V331" s="212"/>
      <c r="W331" s="212"/>
      <c r="X331" s="212"/>
      <c r="Y331" s="212"/>
      <c r="Z331" s="212"/>
      <c r="AA331" s="212"/>
      <c r="AB331" s="212"/>
      <c r="AC331" s="196"/>
      <c r="AD331" s="27"/>
      <c r="AE331" s="213"/>
      <c r="AF331" s="212">
        <f t="shared" si="46"/>
        <v>-3.4465749490841802E-5</v>
      </c>
      <c r="AG331" s="212"/>
      <c r="AH331" s="212"/>
      <c r="AI331" s="212"/>
      <c r="AJ331" s="212"/>
      <c r="AK331" s="212"/>
      <c r="AL331" s="212"/>
      <c r="AM331" s="212"/>
      <c r="AN331" s="212"/>
      <c r="AO331" s="212"/>
      <c r="AP331" s="196"/>
      <c r="AQ331" s="196"/>
      <c r="AR331" s="211"/>
      <c r="AS331" s="212">
        <f t="shared" ref="AS331:AS394" si="47">(AU331-E331)/(MeasuredVariableHigher-MeasuredVariableLower)</f>
        <v>-8.7981540595194476E-7</v>
      </c>
      <c r="AT331" s="212">
        <f>[1]!LIM(AT330+Mode*r0*((1+IntegrationStep/2/Ti+Td/IntegrationStep)*AS331-(1-IntegrationStep/2/Ti+2*Td/IntegrationStep)*AS330+Td/IntegrationStep*AS329))</f>
        <v>0.40307372823045967</v>
      </c>
      <c r="AU331" s="212">
        <f t="shared" ref="AU331:AU394" si="48">SetPoint</f>
        <v>40.794124671602574</v>
      </c>
      <c r="AW331" s="58"/>
      <c r="AX331" s="58"/>
      <c r="AY331" s="58"/>
      <c r="AZ331" s="58"/>
    </row>
    <row r="332" spans="1:52" s="185" customFormat="1" ht="15" customHeight="1" x14ac:dyDescent="0.25">
      <c r="A332" s="200"/>
      <c r="B332" s="211"/>
      <c r="C332" s="212">
        <f t="shared" ref="C332:C395" si="49">C331+IntegrationStep</f>
        <v>32.100000000000186</v>
      </c>
      <c r="D332" s="231">
        <f>15+[1]!STEPLOAD(5)</f>
        <v>20</v>
      </c>
      <c r="E332" s="212">
        <f t="shared" si="42"/>
        <v>40.794209206568219</v>
      </c>
      <c r="F332" s="212">
        <f t="shared" si="43"/>
        <v>0.5</v>
      </c>
      <c r="G332" s="212">
        <f>5</f>
        <v>5</v>
      </c>
      <c r="H332" s="212">
        <f t="shared" ref="H332:H395" si="50">ManipulatedVariableHigher*AT332</f>
        <v>48.36887060979037</v>
      </c>
      <c r="I332" s="212">
        <f t="shared" si="44"/>
        <v>0.9</v>
      </c>
      <c r="J332" s="212">
        <f>1</f>
        <v>1</v>
      </c>
      <c r="K332" s="212">
        <f t="shared" si="45"/>
        <v>4.1870000000000003</v>
      </c>
      <c r="L332" s="212"/>
      <c r="M332" s="212"/>
      <c r="N332" s="212"/>
      <c r="O332" s="212"/>
      <c r="P332" s="212"/>
      <c r="Q332" s="212"/>
      <c r="R332" s="212"/>
      <c r="S332" s="212"/>
      <c r="T332" s="212"/>
      <c r="U332" s="212"/>
      <c r="V332" s="212"/>
      <c r="W332" s="212"/>
      <c r="X332" s="212"/>
      <c r="Y332" s="212"/>
      <c r="Z332" s="212"/>
      <c r="AA332" s="212"/>
      <c r="AB332" s="212"/>
      <c r="AC332" s="196"/>
      <c r="AD332" s="27"/>
      <c r="AE332" s="213"/>
      <c r="AF332" s="212">
        <f t="shared" si="46"/>
        <v>-3.3122767578053214E-5</v>
      </c>
      <c r="AG332" s="212"/>
      <c r="AH332" s="212"/>
      <c r="AI332" s="212"/>
      <c r="AJ332" s="212"/>
      <c r="AK332" s="212"/>
      <c r="AL332" s="212"/>
      <c r="AM332" s="212"/>
      <c r="AN332" s="212"/>
      <c r="AO332" s="212"/>
      <c r="AP332" s="196"/>
      <c r="AQ332" s="196"/>
      <c r="AR332" s="211"/>
      <c r="AS332" s="212">
        <f t="shared" si="47"/>
        <v>-8.453496564442276E-7</v>
      </c>
      <c r="AT332" s="212">
        <f>[1]!LIM(AT331+Mode*r0*((1+IntegrationStep/2/Ti+Td/IntegrationStep)*AS332-(1-IntegrationStep/2/Ti+2*Td/IntegrationStep)*AS331+Td/IntegrationStep*AS330))</f>
        <v>0.40307392174825307</v>
      </c>
      <c r="AU332" s="212">
        <f t="shared" si="48"/>
        <v>40.794124671602574</v>
      </c>
      <c r="AW332" s="58"/>
      <c r="AX332" s="58"/>
      <c r="AY332" s="58"/>
      <c r="AZ332" s="58"/>
    </row>
    <row r="333" spans="1:52" s="185" customFormat="1" ht="15" customHeight="1" x14ac:dyDescent="0.25">
      <c r="A333" s="200"/>
      <c r="B333" s="211"/>
      <c r="C333" s="212">
        <f t="shared" si="49"/>
        <v>32.200000000000188</v>
      </c>
      <c r="D333" s="231">
        <f>15+[1]!STEPLOAD(5)</f>
        <v>20</v>
      </c>
      <c r="E333" s="212">
        <f t="shared" ref="E333:E396" si="51">E332+(C333-C332)*AF332</f>
        <v>40.794205894291458</v>
      </c>
      <c r="F333" s="212">
        <f t="shared" ref="F333:F396" si="52">0.5</f>
        <v>0.5</v>
      </c>
      <c r="G333" s="212">
        <f>5</f>
        <v>5</v>
      </c>
      <c r="H333" s="212">
        <f t="shared" si="50"/>
        <v>48.36889293529979</v>
      </c>
      <c r="I333" s="212">
        <f t="shared" ref="I333:I396" si="53">0.9</f>
        <v>0.9</v>
      </c>
      <c r="J333" s="212">
        <f>1</f>
        <v>1</v>
      </c>
      <c r="K333" s="212">
        <f t="shared" ref="K333:K396" si="54">4.187</f>
        <v>4.1870000000000003</v>
      </c>
      <c r="L333" s="212"/>
      <c r="M333" s="212"/>
      <c r="N333" s="212"/>
      <c r="O333" s="212"/>
      <c r="P333" s="212"/>
      <c r="Q333" s="212"/>
      <c r="R333" s="212"/>
      <c r="S333" s="212"/>
      <c r="T333" s="212"/>
      <c r="U333" s="212"/>
      <c r="V333" s="212"/>
      <c r="W333" s="212"/>
      <c r="X333" s="212"/>
      <c r="Y333" s="212"/>
      <c r="Z333" s="212"/>
      <c r="AA333" s="212"/>
      <c r="AB333" s="212"/>
      <c r="AC333" s="196"/>
      <c r="AD333" s="27"/>
      <c r="AE333" s="213"/>
      <c r="AF333" s="212">
        <f t="shared" ref="AF333:AF396" si="55">F333/G333*(D333-E333)+H333*I333/G333/J333/K333</f>
        <v>-3.1831761612366449E-5</v>
      </c>
      <c r="AG333" s="212"/>
      <c r="AH333" s="212"/>
      <c r="AI333" s="212"/>
      <c r="AJ333" s="212"/>
      <c r="AK333" s="212"/>
      <c r="AL333" s="212"/>
      <c r="AM333" s="212"/>
      <c r="AN333" s="212"/>
      <c r="AO333" s="212"/>
      <c r="AP333" s="196"/>
      <c r="AQ333" s="196"/>
      <c r="AR333" s="211"/>
      <c r="AS333" s="212">
        <f t="shared" si="47"/>
        <v>-8.1222688883997309E-7</v>
      </c>
      <c r="AT333" s="212">
        <f>[1]!LIM(AT332+Mode*r0*((1+IntegrationStep/2/Ti+Td/IntegrationStep)*AS333-(1-IntegrationStep/2/Ti+2*Td/IntegrationStep)*AS332+Td/IntegrationStep*AS331))</f>
        <v>0.40307410779416492</v>
      </c>
      <c r="AU333" s="212">
        <f t="shared" si="48"/>
        <v>40.794124671602574</v>
      </c>
      <c r="AW333" s="58"/>
      <c r="AX333" s="58"/>
      <c r="AY333" s="58"/>
      <c r="AZ333" s="58"/>
    </row>
    <row r="334" spans="1:52" s="185" customFormat="1" ht="15" customHeight="1" x14ac:dyDescent="0.25">
      <c r="A334" s="200"/>
      <c r="B334" s="211"/>
      <c r="C334" s="212">
        <f t="shared" si="49"/>
        <v>32.300000000000189</v>
      </c>
      <c r="D334" s="231">
        <f>15+[1]!STEPLOAD(5)</f>
        <v>20</v>
      </c>
      <c r="E334" s="212">
        <f t="shared" si="51"/>
        <v>40.794202711115297</v>
      </c>
      <c r="F334" s="212">
        <f t="shared" si="52"/>
        <v>0.5</v>
      </c>
      <c r="G334" s="212">
        <f>5</f>
        <v>5</v>
      </c>
      <c r="H334" s="212">
        <f t="shared" si="50"/>
        <v>48.36891439847534</v>
      </c>
      <c r="I334" s="212">
        <f t="shared" si="53"/>
        <v>0.9</v>
      </c>
      <c r="J334" s="212">
        <f>1</f>
        <v>1</v>
      </c>
      <c r="K334" s="212">
        <f t="shared" si="54"/>
        <v>4.1870000000000003</v>
      </c>
      <c r="L334" s="212"/>
      <c r="M334" s="212"/>
      <c r="N334" s="212"/>
      <c r="O334" s="212"/>
      <c r="P334" s="212"/>
      <c r="Q334" s="212"/>
      <c r="R334" s="212"/>
      <c r="S334" s="212"/>
      <c r="T334" s="212"/>
      <c r="U334" s="212"/>
      <c r="V334" s="212"/>
      <c r="W334" s="212"/>
      <c r="X334" s="212"/>
      <c r="Y334" s="212"/>
      <c r="Z334" s="212"/>
      <c r="AA334" s="212"/>
      <c r="AB334" s="212"/>
      <c r="AC334" s="196"/>
      <c r="AD334" s="27"/>
      <c r="AE334" s="213"/>
      <c r="AF334" s="212">
        <f t="shared" si="55"/>
        <v>-3.0590737619906605E-5</v>
      </c>
      <c r="AG334" s="212"/>
      <c r="AH334" s="212"/>
      <c r="AI334" s="212"/>
      <c r="AJ334" s="212"/>
      <c r="AK334" s="212"/>
      <c r="AL334" s="212"/>
      <c r="AM334" s="212"/>
      <c r="AN334" s="212"/>
      <c r="AO334" s="212"/>
      <c r="AP334" s="196"/>
      <c r="AQ334" s="196"/>
      <c r="AR334" s="211"/>
      <c r="AS334" s="212">
        <f t="shared" si="47"/>
        <v>-7.8039512722227752E-7</v>
      </c>
      <c r="AT334" s="212">
        <f>[1]!LIM(AT333+Mode*r0*((1+IntegrationStep/2/Ti+Td/IntegrationStep)*AS334-(1-IntegrationStep/2/Ti+2*Td/IntegrationStep)*AS333+Td/IntegrationStep*AS332))</f>
        <v>0.40307428665396117</v>
      </c>
      <c r="AU334" s="212">
        <f t="shared" si="48"/>
        <v>40.794124671602574</v>
      </c>
      <c r="AW334" s="58"/>
      <c r="AX334" s="58"/>
      <c r="AY334" s="58"/>
      <c r="AZ334" s="58"/>
    </row>
    <row r="335" spans="1:52" s="185" customFormat="1" ht="15" customHeight="1" x14ac:dyDescent="0.25">
      <c r="A335" s="200"/>
      <c r="B335" s="211"/>
      <c r="C335" s="212">
        <f t="shared" si="49"/>
        <v>32.40000000000019</v>
      </c>
      <c r="D335" s="231">
        <f>15+[1]!STEPLOAD(5)</f>
        <v>20</v>
      </c>
      <c r="E335" s="212">
        <f t="shared" si="51"/>
        <v>40.794199652041534</v>
      </c>
      <c r="F335" s="212">
        <f t="shared" si="52"/>
        <v>0.5</v>
      </c>
      <c r="G335" s="212">
        <f>5</f>
        <v>5</v>
      </c>
      <c r="H335" s="212">
        <f t="shared" si="50"/>
        <v>48.368935032313928</v>
      </c>
      <c r="I335" s="212">
        <f t="shared" si="53"/>
        <v>0.9</v>
      </c>
      <c r="J335" s="212">
        <f>1</f>
        <v>1</v>
      </c>
      <c r="K335" s="212">
        <f t="shared" si="54"/>
        <v>4.1870000000000003</v>
      </c>
      <c r="L335" s="212"/>
      <c r="M335" s="212"/>
      <c r="N335" s="212"/>
      <c r="O335" s="212"/>
      <c r="P335" s="212"/>
      <c r="Q335" s="212"/>
      <c r="R335" s="212"/>
      <c r="S335" s="212"/>
      <c r="T335" s="212"/>
      <c r="U335" s="212"/>
      <c r="V335" s="212"/>
      <c r="W335" s="212"/>
      <c r="X335" s="212"/>
      <c r="Y335" s="212"/>
      <c r="Z335" s="212"/>
      <c r="AA335" s="212"/>
      <c r="AB335" s="212"/>
      <c r="AC335" s="196"/>
      <c r="AD335" s="27"/>
      <c r="AE335" s="213"/>
      <c r="AF335" s="212">
        <f t="shared" si="55"/>
        <v>-2.939777723565129E-5</v>
      </c>
      <c r="AG335" s="212"/>
      <c r="AH335" s="212"/>
      <c r="AI335" s="212"/>
      <c r="AJ335" s="212"/>
      <c r="AK335" s="212"/>
      <c r="AL335" s="212"/>
      <c r="AM335" s="212"/>
      <c r="AN335" s="212"/>
      <c r="AO335" s="212"/>
      <c r="AP335" s="196"/>
      <c r="AQ335" s="196"/>
      <c r="AR335" s="211"/>
      <c r="AS335" s="212">
        <f t="shared" si="47"/>
        <v>-7.498043895992623E-7</v>
      </c>
      <c r="AT335" s="212">
        <f>[1]!LIM(AT334+Mode*r0*((1+IntegrationStep/2/Ti+Td/IntegrationStep)*AS335-(1-IntegrationStep/2/Ti+2*Td/IntegrationStep)*AS334+Td/IntegrationStep*AS333))</f>
        <v>0.40307445860261609</v>
      </c>
      <c r="AU335" s="212">
        <f t="shared" si="48"/>
        <v>40.794124671602574</v>
      </c>
      <c r="AW335" s="58"/>
      <c r="AX335" s="58"/>
      <c r="AY335" s="58"/>
      <c r="AZ335" s="58"/>
    </row>
    <row r="336" spans="1:52" s="185" customFormat="1" ht="15" customHeight="1" x14ac:dyDescent="0.25">
      <c r="A336" s="200"/>
      <c r="B336" s="211"/>
      <c r="C336" s="212">
        <f t="shared" si="49"/>
        <v>32.500000000000192</v>
      </c>
      <c r="D336" s="231">
        <f>15+[1]!STEPLOAD(5)</f>
        <v>20</v>
      </c>
      <c r="E336" s="212">
        <f t="shared" si="51"/>
        <v>40.794196712263812</v>
      </c>
      <c r="F336" s="212">
        <f t="shared" si="52"/>
        <v>0.5</v>
      </c>
      <c r="G336" s="212">
        <f>5</f>
        <v>5</v>
      </c>
      <c r="H336" s="212">
        <f t="shared" si="50"/>
        <v>48.368954868565396</v>
      </c>
      <c r="I336" s="212">
        <f t="shared" si="53"/>
        <v>0.9</v>
      </c>
      <c r="J336" s="212">
        <f>1</f>
        <v>1</v>
      </c>
      <c r="K336" s="212">
        <f t="shared" si="54"/>
        <v>4.1870000000000003</v>
      </c>
      <c r="L336" s="212"/>
      <c r="M336" s="212"/>
      <c r="N336" s="212"/>
      <c r="O336" s="212"/>
      <c r="P336" s="212"/>
      <c r="Q336" s="212"/>
      <c r="R336" s="212"/>
      <c r="S336" s="212"/>
      <c r="T336" s="212"/>
      <c r="U336" s="212"/>
      <c r="V336" s="212"/>
      <c r="W336" s="212"/>
      <c r="X336" s="212"/>
      <c r="Y336" s="212"/>
      <c r="Z336" s="212"/>
      <c r="AA336" s="212"/>
      <c r="AB336" s="212"/>
      <c r="AC336" s="196"/>
      <c r="AD336" s="27"/>
      <c r="AE336" s="213"/>
      <c r="AF336" s="212">
        <f t="shared" si="55"/>
        <v>-2.8251034890569571E-5</v>
      </c>
      <c r="AG336" s="212"/>
      <c r="AH336" s="212"/>
      <c r="AI336" s="212"/>
      <c r="AJ336" s="212"/>
      <c r="AK336" s="212"/>
      <c r="AL336" s="212"/>
      <c r="AM336" s="212"/>
      <c r="AN336" s="212"/>
      <c r="AO336" s="212"/>
      <c r="AP336" s="196"/>
      <c r="AQ336" s="196"/>
      <c r="AR336" s="211"/>
      <c r="AS336" s="212">
        <f t="shared" si="47"/>
        <v>-7.2040661237338099E-7</v>
      </c>
      <c r="AT336" s="212">
        <f>[1]!LIM(AT335+Mode*r0*((1+IntegrationStep/2/Ti+Td/IntegrationStep)*AS336-(1-IntegrationStep/2/Ti+2*Td/IntegrationStep)*AS335+Td/IntegrationStep*AS334))</f>
        <v>0.4030746239047116</v>
      </c>
      <c r="AU336" s="212">
        <f t="shared" si="48"/>
        <v>40.794124671602574</v>
      </c>
      <c r="AW336" s="58"/>
      <c r="AX336" s="58"/>
      <c r="AY336" s="58"/>
      <c r="AZ336" s="58"/>
    </row>
    <row r="337" spans="1:52" s="185" customFormat="1" ht="15" customHeight="1" x14ac:dyDescent="0.25">
      <c r="A337" s="200"/>
      <c r="B337" s="211"/>
      <c r="C337" s="212">
        <f t="shared" si="49"/>
        <v>32.600000000000193</v>
      </c>
      <c r="D337" s="231">
        <f>15+[1]!STEPLOAD(5)</f>
        <v>20</v>
      </c>
      <c r="E337" s="212">
        <f t="shared" si="51"/>
        <v>40.794193887160326</v>
      </c>
      <c r="F337" s="212">
        <f t="shared" si="52"/>
        <v>0.5</v>
      </c>
      <c r="G337" s="212">
        <f>5</f>
        <v>5</v>
      </c>
      <c r="H337" s="212">
        <f t="shared" si="50"/>
        <v>48.368973937778875</v>
      </c>
      <c r="I337" s="212">
        <f t="shared" si="53"/>
        <v>0.9</v>
      </c>
      <c r="J337" s="212">
        <f>1</f>
        <v>1</v>
      </c>
      <c r="K337" s="212">
        <f t="shared" si="54"/>
        <v>4.1870000000000003</v>
      </c>
      <c r="L337" s="212"/>
      <c r="M337" s="212"/>
      <c r="N337" s="212"/>
      <c r="O337" s="212"/>
      <c r="P337" s="212"/>
      <c r="Q337" s="212"/>
      <c r="R337" s="212"/>
      <c r="S337" s="212"/>
      <c r="T337" s="212"/>
      <c r="U337" s="212"/>
      <c r="V337" s="212"/>
      <c r="W337" s="212"/>
      <c r="X337" s="212"/>
      <c r="Y337" s="212"/>
      <c r="Z337" s="212"/>
      <c r="AA337" s="212"/>
      <c r="AB337" s="212"/>
      <c r="AC337" s="196"/>
      <c r="AD337" s="27"/>
      <c r="AE337" s="213"/>
      <c r="AF337" s="212">
        <f t="shared" si="55"/>
        <v>-2.7148735092463738E-5</v>
      </c>
      <c r="AG337" s="212"/>
      <c r="AH337" s="212"/>
      <c r="AI337" s="212"/>
      <c r="AJ337" s="212"/>
      <c r="AK337" s="212"/>
      <c r="AL337" s="212"/>
      <c r="AM337" s="212"/>
      <c r="AN337" s="212"/>
      <c r="AO337" s="212"/>
      <c r="AP337" s="196"/>
      <c r="AQ337" s="196"/>
      <c r="AR337" s="211"/>
      <c r="AS337" s="212">
        <f t="shared" si="47"/>
        <v>-6.9215557751078905E-7</v>
      </c>
      <c r="AT337" s="212">
        <f>[1]!LIM(AT336+Mode*r0*((1+IntegrationStep/2/Ti+Td/IntegrationStep)*AS337-(1-IntegrationStep/2/Ti+2*Td/IntegrationStep)*AS336+Td/IntegrationStep*AS335))</f>
        <v>0.40307478281482395</v>
      </c>
      <c r="AU337" s="212">
        <f t="shared" si="48"/>
        <v>40.794124671602574</v>
      </c>
      <c r="AW337" s="58"/>
      <c r="AX337" s="58"/>
      <c r="AY337" s="58"/>
      <c r="AZ337" s="58"/>
    </row>
    <row r="338" spans="1:52" s="185" customFormat="1" ht="15" customHeight="1" x14ac:dyDescent="0.25">
      <c r="A338" s="200"/>
      <c r="B338" s="211"/>
      <c r="C338" s="212">
        <f t="shared" si="49"/>
        <v>32.700000000000195</v>
      </c>
      <c r="D338" s="231">
        <f>15+[1]!STEPLOAD(5)</f>
        <v>20</v>
      </c>
      <c r="E338" s="212">
        <f t="shared" si="51"/>
        <v>40.794191172286816</v>
      </c>
      <c r="F338" s="212">
        <f t="shared" si="52"/>
        <v>0.5</v>
      </c>
      <c r="G338" s="212">
        <f>5</f>
        <v>5</v>
      </c>
      <c r="H338" s="212">
        <f t="shared" si="50"/>
        <v>48.368992269347601</v>
      </c>
      <c r="I338" s="212">
        <f t="shared" si="53"/>
        <v>0.9</v>
      </c>
      <c r="J338" s="212">
        <f>1</f>
        <v>1</v>
      </c>
      <c r="K338" s="212">
        <f t="shared" si="54"/>
        <v>4.1870000000000003</v>
      </c>
      <c r="L338" s="212"/>
      <c r="M338" s="212"/>
      <c r="N338" s="212"/>
      <c r="O338" s="212"/>
      <c r="P338" s="212"/>
      <c r="Q338" s="212"/>
      <c r="R338" s="212"/>
      <c r="S338" s="212"/>
      <c r="T338" s="212"/>
      <c r="U338" s="212"/>
      <c r="V338" s="212"/>
      <c r="W338" s="212"/>
      <c r="X338" s="212"/>
      <c r="Y338" s="212"/>
      <c r="Z338" s="212"/>
      <c r="AA338" s="212"/>
      <c r="AB338" s="212"/>
      <c r="AC338" s="196"/>
      <c r="AD338" s="27"/>
      <c r="AE338" s="213"/>
      <c r="AF338" s="212">
        <f t="shared" si="55"/>
        <v>-2.6089169792520295E-5</v>
      </c>
      <c r="AG338" s="212"/>
      <c r="AH338" s="212"/>
      <c r="AI338" s="212"/>
      <c r="AJ338" s="212"/>
      <c r="AK338" s="212"/>
      <c r="AL338" s="212"/>
      <c r="AM338" s="212"/>
      <c r="AN338" s="212"/>
      <c r="AO338" s="212"/>
      <c r="AP338" s="196"/>
      <c r="AQ338" s="196"/>
      <c r="AR338" s="211"/>
      <c r="AS338" s="212">
        <f t="shared" si="47"/>
        <v>-6.6500684241077575E-7</v>
      </c>
      <c r="AT338" s="212">
        <f>[1]!LIM(AT337+Mode*r0*((1+IntegrationStep/2/Ti+Td/IntegrationStep)*AS338-(1-IntegrationStep/2/Ti+2*Td/IntegrationStep)*AS337+Td/IntegrationStep*AS336))</f>
        <v>0.4030749355778967</v>
      </c>
      <c r="AU338" s="212">
        <f t="shared" si="48"/>
        <v>40.794124671602574</v>
      </c>
      <c r="AW338" s="58"/>
      <c r="AX338" s="58"/>
      <c r="AY338" s="58"/>
      <c r="AZ338" s="58"/>
    </row>
    <row r="339" spans="1:52" s="185" customFormat="1" ht="15" customHeight="1" x14ac:dyDescent="0.25">
      <c r="A339" s="200"/>
      <c r="B339" s="211"/>
      <c r="C339" s="212">
        <f t="shared" si="49"/>
        <v>32.800000000000196</v>
      </c>
      <c r="D339" s="231">
        <f>15+[1]!STEPLOAD(5)</f>
        <v>20</v>
      </c>
      <c r="E339" s="212">
        <f t="shared" si="51"/>
        <v>40.794188563369836</v>
      </c>
      <c r="F339" s="212">
        <f t="shared" si="52"/>
        <v>0.5</v>
      </c>
      <c r="G339" s="212">
        <f>5</f>
        <v>5</v>
      </c>
      <c r="H339" s="212">
        <f t="shared" si="50"/>
        <v>48.369009891551649</v>
      </c>
      <c r="I339" s="212">
        <f t="shared" si="53"/>
        <v>0.9</v>
      </c>
      <c r="J339" s="212">
        <f>1</f>
        <v>1</v>
      </c>
      <c r="K339" s="212">
        <f t="shared" si="54"/>
        <v>4.1870000000000003</v>
      </c>
      <c r="L339" s="212"/>
      <c r="M339" s="212"/>
      <c r="N339" s="212"/>
      <c r="O339" s="212"/>
      <c r="P339" s="212"/>
      <c r="Q339" s="212"/>
      <c r="R339" s="212"/>
      <c r="S339" s="212"/>
      <c r="T339" s="212"/>
      <c r="U339" s="212"/>
      <c r="V339" s="212"/>
      <c r="W339" s="212"/>
      <c r="X339" s="212"/>
      <c r="Y339" s="212"/>
      <c r="Z339" s="212"/>
      <c r="AA339" s="212"/>
      <c r="AB339" s="212"/>
      <c r="AC339" s="196"/>
      <c r="AD339" s="27"/>
      <c r="AE339" s="213"/>
      <c r="AF339" s="212">
        <f t="shared" si="55"/>
        <v>-2.5070695880646809E-5</v>
      </c>
      <c r="AG339" s="212"/>
      <c r="AH339" s="212"/>
      <c r="AI339" s="212"/>
      <c r="AJ339" s="212"/>
      <c r="AK339" s="212"/>
      <c r="AL339" s="212"/>
      <c r="AM339" s="212"/>
      <c r="AN339" s="212"/>
      <c r="AO339" s="212"/>
      <c r="AP339" s="196"/>
      <c r="AQ339" s="196"/>
      <c r="AR339" s="211"/>
      <c r="AS339" s="212">
        <f t="shared" si="47"/>
        <v>-6.3891767261736735E-7</v>
      </c>
      <c r="AT339" s="212">
        <f>[1]!LIM(AT338+Mode*r0*((1+IntegrationStep/2/Ti+Td/IntegrationStep)*AS339-(1-IntegrationStep/2/Ti+2*Td/IntegrationStep)*AS338+Td/IntegrationStep*AS337))</f>
        <v>0.40307508242959705</v>
      </c>
      <c r="AU339" s="212">
        <f t="shared" si="48"/>
        <v>40.794124671602574</v>
      </c>
      <c r="AW339" s="58"/>
      <c r="AX339" s="58"/>
      <c r="AY339" s="58"/>
      <c r="AZ339" s="58"/>
    </row>
    <row r="340" spans="1:52" s="185" customFormat="1" ht="15" customHeight="1" x14ac:dyDescent="0.25">
      <c r="A340" s="200"/>
      <c r="B340" s="211"/>
      <c r="C340" s="212">
        <f t="shared" si="49"/>
        <v>32.900000000000198</v>
      </c>
      <c r="D340" s="231">
        <f>15+[1]!STEPLOAD(5)</f>
        <v>20</v>
      </c>
      <c r="E340" s="212">
        <f t="shared" si="51"/>
        <v>40.794186056300248</v>
      </c>
      <c r="F340" s="212">
        <f t="shared" si="52"/>
        <v>0.5</v>
      </c>
      <c r="G340" s="212">
        <f>5</f>
        <v>5</v>
      </c>
      <c r="H340" s="212">
        <f t="shared" si="50"/>
        <v>48.369026831599626</v>
      </c>
      <c r="I340" s="212">
        <f t="shared" si="53"/>
        <v>0.9</v>
      </c>
      <c r="J340" s="212">
        <f>1</f>
        <v>1</v>
      </c>
      <c r="K340" s="212">
        <f t="shared" si="54"/>
        <v>4.1870000000000003</v>
      </c>
      <c r="L340" s="212"/>
      <c r="M340" s="212"/>
      <c r="N340" s="212"/>
      <c r="O340" s="212"/>
      <c r="P340" s="212"/>
      <c r="Q340" s="212"/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196"/>
      <c r="AD340" s="27"/>
      <c r="AE340" s="213"/>
      <c r="AF340" s="212">
        <f t="shared" si="55"/>
        <v>-2.409173273987264E-5</v>
      </c>
      <c r="AG340" s="212"/>
      <c r="AH340" s="212"/>
      <c r="AI340" s="212"/>
      <c r="AJ340" s="212"/>
      <c r="AK340" s="212"/>
      <c r="AL340" s="212"/>
      <c r="AM340" s="212"/>
      <c r="AN340" s="212"/>
      <c r="AO340" s="212"/>
      <c r="AP340" s="196"/>
      <c r="AQ340" s="196"/>
      <c r="AR340" s="211"/>
      <c r="AS340" s="212">
        <f t="shared" si="47"/>
        <v>-6.1384697673361184E-7</v>
      </c>
      <c r="AT340" s="212">
        <f>[1]!LIM(AT339+Mode*r0*((1+IntegrationStep/2/Ti+Td/IntegrationStep)*AS340-(1-IntegrationStep/2/Ti+2*Td/IntegrationStep)*AS339+Td/IntegrationStep*AS338))</f>
        <v>0.40307522359666353</v>
      </c>
      <c r="AU340" s="212">
        <f t="shared" si="48"/>
        <v>40.794124671602574</v>
      </c>
      <c r="AW340" s="58"/>
      <c r="AX340" s="58"/>
      <c r="AY340" s="58"/>
      <c r="AZ340" s="58"/>
    </row>
    <row r="341" spans="1:52" s="185" customFormat="1" ht="15" customHeight="1" x14ac:dyDescent="0.25">
      <c r="A341" s="200"/>
      <c r="B341" s="211"/>
      <c r="C341" s="212">
        <f t="shared" si="49"/>
        <v>33.000000000000199</v>
      </c>
      <c r="D341" s="231">
        <f>15+[1]!STEPLOAD(5)</f>
        <v>20</v>
      </c>
      <c r="E341" s="212">
        <f t="shared" si="51"/>
        <v>40.794183647126971</v>
      </c>
      <c r="F341" s="212">
        <f t="shared" si="52"/>
        <v>0.5</v>
      </c>
      <c r="G341" s="212">
        <f>5</f>
        <v>5</v>
      </c>
      <c r="H341" s="212">
        <f t="shared" si="50"/>
        <v>48.369043115668646</v>
      </c>
      <c r="I341" s="212">
        <f t="shared" si="53"/>
        <v>0.9</v>
      </c>
      <c r="J341" s="212">
        <f>1</f>
        <v>1</v>
      </c>
      <c r="K341" s="212">
        <f t="shared" si="54"/>
        <v>4.1870000000000003</v>
      </c>
      <c r="L341" s="212"/>
      <c r="M341" s="212"/>
      <c r="N341" s="212"/>
      <c r="O341" s="212"/>
      <c r="P341" s="212"/>
      <c r="Q341" s="212"/>
      <c r="R341" s="212"/>
      <c r="S341" s="212"/>
      <c r="T341" s="212"/>
      <c r="U341" s="212"/>
      <c r="V341" s="212"/>
      <c r="W341" s="212"/>
      <c r="X341" s="212"/>
      <c r="Y341" s="212"/>
      <c r="Z341" s="212"/>
      <c r="AA341" s="212"/>
      <c r="AB341" s="212"/>
      <c r="AC341" s="196"/>
      <c r="AD341" s="27"/>
      <c r="AE341" s="213"/>
      <c r="AF341" s="212">
        <f t="shared" si="55"/>
        <v>-2.3150759901557905E-5</v>
      </c>
      <c r="AG341" s="212"/>
      <c r="AH341" s="212"/>
      <c r="AI341" s="212"/>
      <c r="AJ341" s="212"/>
      <c r="AK341" s="212"/>
      <c r="AL341" s="212"/>
      <c r="AM341" s="212"/>
      <c r="AN341" s="212"/>
      <c r="AO341" s="212"/>
      <c r="AP341" s="196"/>
      <c r="AQ341" s="196"/>
      <c r="AR341" s="211"/>
      <c r="AS341" s="212">
        <f t="shared" si="47"/>
        <v>-5.8975524396487345E-7</v>
      </c>
      <c r="AT341" s="212">
        <f>[1]!LIM(AT340+Mode*r0*((1+IntegrationStep/2/Ti+Td/IntegrationStep)*AS341-(1-IntegrationStep/2/Ti+2*Td/IntegrationStep)*AS340+Td/IntegrationStep*AS339))</f>
        <v>0.4030753592972387</v>
      </c>
      <c r="AU341" s="212">
        <f t="shared" si="48"/>
        <v>40.794124671602574</v>
      </c>
      <c r="AW341" s="58"/>
      <c r="AX341" s="58"/>
      <c r="AY341" s="58"/>
      <c r="AZ341" s="58"/>
    </row>
    <row r="342" spans="1:52" s="185" customFormat="1" ht="15" customHeight="1" x14ac:dyDescent="0.25">
      <c r="A342" s="200"/>
      <c r="B342" s="211"/>
      <c r="C342" s="212">
        <f t="shared" si="49"/>
        <v>33.1000000000002</v>
      </c>
      <c r="D342" s="231">
        <f>15+[1]!STEPLOAD(5)</f>
        <v>20</v>
      </c>
      <c r="E342" s="212">
        <f t="shared" si="51"/>
        <v>40.794181332050982</v>
      </c>
      <c r="F342" s="212">
        <f t="shared" si="52"/>
        <v>0.5</v>
      </c>
      <c r="G342" s="212">
        <f>5</f>
        <v>5</v>
      </c>
      <c r="H342" s="212">
        <f t="shared" si="50"/>
        <v>48.369058768942558</v>
      </c>
      <c r="I342" s="212">
        <f t="shared" si="53"/>
        <v>0.9</v>
      </c>
      <c r="J342" s="212">
        <f>1</f>
        <v>1</v>
      </c>
      <c r="K342" s="212">
        <f t="shared" si="54"/>
        <v>4.1870000000000003</v>
      </c>
      <c r="L342" s="212"/>
      <c r="M342" s="212"/>
      <c r="N342" s="212"/>
      <c r="O342" s="212"/>
      <c r="P342" s="212"/>
      <c r="Q342" s="212"/>
      <c r="R342" s="212"/>
      <c r="S342" s="212"/>
      <c r="T342" s="212"/>
      <c r="U342" s="212"/>
      <c r="V342" s="212"/>
      <c r="W342" s="212"/>
      <c r="X342" s="212"/>
      <c r="Y342" s="212"/>
      <c r="Z342" s="212"/>
      <c r="AA342" s="212"/>
      <c r="AB342" s="212"/>
      <c r="AC342" s="196"/>
      <c r="AD342" s="27"/>
      <c r="AE342" s="213"/>
      <c r="AF342" s="212">
        <f t="shared" si="55"/>
        <v>-2.2246314804519329E-5</v>
      </c>
      <c r="AG342" s="212"/>
      <c r="AH342" s="212"/>
      <c r="AI342" s="212"/>
      <c r="AJ342" s="212"/>
      <c r="AK342" s="212"/>
      <c r="AL342" s="212"/>
      <c r="AM342" s="212"/>
      <c r="AN342" s="212"/>
      <c r="AO342" s="212"/>
      <c r="AP342" s="196"/>
      <c r="AQ342" s="196"/>
      <c r="AR342" s="211"/>
      <c r="AS342" s="212">
        <f t="shared" si="47"/>
        <v>-5.6660448407797051E-7</v>
      </c>
      <c r="AT342" s="212">
        <f>[1]!LIM(AT341+Mode*r0*((1+IntegrationStep/2/Ti+Td/IntegrationStep)*AS342-(1-IntegrationStep/2/Ti+2*Td/IntegrationStep)*AS341+Td/IntegrationStep*AS340))</f>
        <v>0.40307548974118801</v>
      </c>
      <c r="AU342" s="212">
        <f t="shared" si="48"/>
        <v>40.794124671602574</v>
      </c>
      <c r="AW342" s="58"/>
      <c r="AX342" s="58"/>
      <c r="AY342" s="58"/>
      <c r="AZ342" s="58"/>
    </row>
    <row r="343" spans="1:52" s="185" customFormat="1" ht="15" customHeight="1" x14ac:dyDescent="0.25">
      <c r="A343" s="200"/>
      <c r="B343" s="211"/>
      <c r="C343" s="212">
        <f t="shared" si="49"/>
        <v>33.200000000000202</v>
      </c>
      <c r="D343" s="231">
        <f>15+[1]!STEPLOAD(5)</f>
        <v>20</v>
      </c>
      <c r="E343" s="212">
        <f t="shared" si="51"/>
        <v>40.794179107419502</v>
      </c>
      <c r="F343" s="212">
        <f t="shared" si="52"/>
        <v>0.5</v>
      </c>
      <c r="G343" s="212">
        <f>5</f>
        <v>5</v>
      </c>
      <c r="H343" s="212">
        <f t="shared" si="50"/>
        <v>48.3690738156495</v>
      </c>
      <c r="I343" s="212">
        <f t="shared" si="53"/>
        <v>0.9</v>
      </c>
      <c r="J343" s="212">
        <f>1</f>
        <v>1</v>
      </c>
      <c r="K343" s="212">
        <f t="shared" si="54"/>
        <v>4.1870000000000003</v>
      </c>
      <c r="L343" s="212"/>
      <c r="M343" s="212"/>
      <c r="N343" s="212"/>
      <c r="O343" s="212"/>
      <c r="P343" s="212"/>
      <c r="Q343" s="212"/>
      <c r="R343" s="212"/>
      <c r="S343" s="212"/>
      <c r="T343" s="212"/>
      <c r="U343" s="212"/>
      <c r="V343" s="212"/>
      <c r="W343" s="212"/>
      <c r="X343" s="212"/>
      <c r="Y343" s="212"/>
      <c r="Z343" s="212"/>
      <c r="AA343" s="212"/>
      <c r="AB343" s="212"/>
      <c r="AC343" s="196"/>
      <c r="AD343" s="27"/>
      <c r="AE343" s="213"/>
      <c r="AF343" s="212">
        <f t="shared" si="55"/>
        <v>-2.1376990598565015E-5</v>
      </c>
      <c r="AG343" s="212"/>
      <c r="AH343" s="212"/>
      <c r="AI343" s="212"/>
      <c r="AJ343" s="212"/>
      <c r="AK343" s="212"/>
      <c r="AL343" s="212"/>
      <c r="AM343" s="212"/>
      <c r="AN343" s="212"/>
      <c r="AO343" s="212"/>
      <c r="AP343" s="196"/>
      <c r="AQ343" s="196"/>
      <c r="AR343" s="211"/>
      <c r="AS343" s="212">
        <f t="shared" si="47"/>
        <v>-5.4435816927878026E-7</v>
      </c>
      <c r="AT343" s="212">
        <f>[1]!LIM(AT342+Mode*r0*((1+IntegrationStep/2/Ti+Td/IntegrationStep)*AS343-(1-IntegrationStep/2/Ti+2*Td/IntegrationStep)*AS342+Td/IntegrationStep*AS341))</f>
        <v>0.40307561513041251</v>
      </c>
      <c r="AU343" s="212">
        <f t="shared" si="48"/>
        <v>40.794124671602574</v>
      </c>
      <c r="AW343" s="58"/>
      <c r="AX343" s="58"/>
      <c r="AY343" s="58"/>
      <c r="AZ343" s="58"/>
    </row>
    <row r="344" spans="1:52" s="185" customFormat="1" ht="15" customHeight="1" x14ac:dyDescent="0.25">
      <c r="A344" s="200"/>
      <c r="B344" s="211"/>
      <c r="C344" s="212">
        <f t="shared" si="49"/>
        <v>33.300000000000203</v>
      </c>
      <c r="D344" s="231">
        <f>15+[1]!STEPLOAD(5)</f>
        <v>20</v>
      </c>
      <c r="E344" s="212">
        <f t="shared" si="51"/>
        <v>40.794176969720439</v>
      </c>
      <c r="F344" s="212">
        <f t="shared" si="52"/>
        <v>0.5</v>
      </c>
      <c r="G344" s="212">
        <f>5</f>
        <v>5</v>
      </c>
      <c r="H344" s="212">
        <f t="shared" si="50"/>
        <v>48.369088279097305</v>
      </c>
      <c r="I344" s="212">
        <f t="shared" si="53"/>
        <v>0.9</v>
      </c>
      <c r="J344" s="212">
        <f>1</f>
        <v>1</v>
      </c>
      <c r="K344" s="212">
        <f t="shared" si="54"/>
        <v>4.1870000000000003</v>
      </c>
      <c r="L344" s="212"/>
      <c r="M344" s="212"/>
      <c r="N344" s="212"/>
      <c r="O344" s="212"/>
      <c r="P344" s="212"/>
      <c r="Q344" s="212"/>
      <c r="R344" s="212"/>
      <c r="S344" s="212"/>
      <c r="T344" s="212"/>
      <c r="U344" s="212"/>
      <c r="V344" s="212"/>
      <c r="W344" s="212"/>
      <c r="X344" s="212"/>
      <c r="Y344" s="212"/>
      <c r="Z344" s="212"/>
      <c r="AA344" s="212"/>
      <c r="AB344" s="212"/>
      <c r="AC344" s="196"/>
      <c r="AD344" s="27"/>
      <c r="AE344" s="213"/>
      <c r="AF344" s="212">
        <f t="shared" si="55"/>
        <v>-2.0541434065712849E-5</v>
      </c>
      <c r="AG344" s="212"/>
      <c r="AH344" s="212"/>
      <c r="AI344" s="212"/>
      <c r="AJ344" s="212"/>
      <c r="AK344" s="212"/>
      <c r="AL344" s="212"/>
      <c r="AM344" s="212"/>
      <c r="AN344" s="212"/>
      <c r="AO344" s="212"/>
      <c r="AP344" s="196"/>
      <c r="AQ344" s="196"/>
      <c r="AR344" s="211"/>
      <c r="AS344" s="212">
        <f t="shared" si="47"/>
        <v>-5.2298117864779674E-7</v>
      </c>
      <c r="AT344" s="212">
        <f>[1]!LIM(AT343+Mode*r0*((1+IntegrationStep/2/Ti+Td/IntegrationStep)*AS344-(1-IntegrationStep/2/Ti+2*Td/IntegrationStep)*AS343+Td/IntegrationStep*AS342))</f>
        <v>0.40307573565914423</v>
      </c>
      <c r="AU344" s="212">
        <f t="shared" si="48"/>
        <v>40.794124671602574</v>
      </c>
      <c r="AW344" s="58"/>
      <c r="AX344" s="58"/>
      <c r="AY344" s="58"/>
      <c r="AZ344" s="58"/>
    </row>
    <row r="345" spans="1:52" s="185" customFormat="1" ht="15" customHeight="1" x14ac:dyDescent="0.25">
      <c r="A345" s="200"/>
      <c r="B345" s="211"/>
      <c r="C345" s="212">
        <f t="shared" si="49"/>
        <v>33.400000000000205</v>
      </c>
      <c r="D345" s="231">
        <f>15+[1]!STEPLOAD(5)</f>
        <v>20</v>
      </c>
      <c r="E345" s="212">
        <f t="shared" si="51"/>
        <v>40.794174915577031</v>
      </c>
      <c r="F345" s="212">
        <f t="shared" si="52"/>
        <v>0.5</v>
      </c>
      <c r="G345" s="212">
        <f>5</f>
        <v>5</v>
      </c>
      <c r="H345" s="212">
        <f t="shared" si="50"/>
        <v>48.369102181707881</v>
      </c>
      <c r="I345" s="212">
        <f t="shared" si="53"/>
        <v>0.9</v>
      </c>
      <c r="J345" s="212">
        <f>1</f>
        <v>1</v>
      </c>
      <c r="K345" s="212">
        <f t="shared" si="54"/>
        <v>4.1870000000000003</v>
      </c>
      <c r="L345" s="212"/>
      <c r="M345" s="212"/>
      <c r="N345" s="212"/>
      <c r="O345" s="212"/>
      <c r="P345" s="212"/>
      <c r="Q345" s="212"/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196"/>
      <c r="AD345" s="27"/>
      <c r="AE345" s="213"/>
      <c r="AF345" s="212">
        <f t="shared" si="55"/>
        <v>-1.9738343607578201E-5</v>
      </c>
      <c r="AG345" s="212"/>
      <c r="AH345" s="212"/>
      <c r="AI345" s="212"/>
      <c r="AJ345" s="212"/>
      <c r="AK345" s="212"/>
      <c r="AL345" s="212"/>
      <c r="AM345" s="212"/>
      <c r="AN345" s="212"/>
      <c r="AO345" s="212"/>
      <c r="AP345" s="196"/>
      <c r="AQ345" s="196"/>
      <c r="AR345" s="211"/>
      <c r="AS345" s="212">
        <f t="shared" si="47"/>
        <v>-5.0243974456520848E-7</v>
      </c>
      <c r="AT345" s="212">
        <f>[1]!LIM(AT344+Mode*r0*((1+IntegrationStep/2/Ti+Td/IntegrationStep)*AS345-(1-IntegrationStep/2/Ti+2*Td/IntegrationStep)*AS344+Td/IntegrationStep*AS343))</f>
        <v>0.40307585151423236</v>
      </c>
      <c r="AU345" s="212">
        <f t="shared" si="48"/>
        <v>40.794124671602574</v>
      </c>
      <c r="AW345" s="58"/>
      <c r="AX345" s="58"/>
      <c r="AY345" s="58"/>
      <c r="AZ345" s="58"/>
    </row>
    <row r="346" spans="1:52" s="185" customFormat="1" ht="15" customHeight="1" x14ac:dyDescent="0.25">
      <c r="A346" s="200"/>
      <c r="B346" s="211"/>
      <c r="C346" s="212">
        <f t="shared" si="49"/>
        <v>33.500000000000206</v>
      </c>
      <c r="D346" s="231">
        <f>15+[1]!STEPLOAD(5)</f>
        <v>20</v>
      </c>
      <c r="E346" s="212">
        <f t="shared" si="51"/>
        <v>40.794172941742673</v>
      </c>
      <c r="F346" s="212">
        <f t="shared" si="52"/>
        <v>0.5</v>
      </c>
      <c r="G346" s="212">
        <f>5</f>
        <v>5</v>
      </c>
      <c r="H346" s="212">
        <f t="shared" si="50"/>
        <v>48.369115545050555</v>
      </c>
      <c r="I346" s="212">
        <f t="shared" si="53"/>
        <v>0.9</v>
      </c>
      <c r="J346" s="212">
        <f>1</f>
        <v>1</v>
      </c>
      <c r="K346" s="212">
        <f t="shared" si="54"/>
        <v>4.1870000000000003</v>
      </c>
      <c r="L346" s="212"/>
      <c r="M346" s="212"/>
      <c r="N346" s="212"/>
      <c r="O346" s="212"/>
      <c r="P346" s="212"/>
      <c r="Q346" s="212"/>
      <c r="R346" s="212"/>
      <c r="S346" s="212"/>
      <c r="T346" s="212"/>
      <c r="U346" s="212"/>
      <c r="V346" s="212"/>
      <c r="W346" s="212"/>
      <c r="X346" s="212"/>
      <c r="Y346" s="212"/>
      <c r="Z346" s="212"/>
      <c r="AA346" s="212"/>
      <c r="AB346" s="212"/>
      <c r="AC346" s="196"/>
      <c r="AD346" s="27"/>
      <c r="AE346" s="213"/>
      <c r="AF346" s="212">
        <f t="shared" si="55"/>
        <v>-1.8966467293601852E-5</v>
      </c>
      <c r="AG346" s="212"/>
      <c r="AH346" s="212"/>
      <c r="AI346" s="212"/>
      <c r="AJ346" s="212"/>
      <c r="AK346" s="212"/>
      <c r="AL346" s="212"/>
      <c r="AM346" s="212"/>
      <c r="AN346" s="212"/>
      <c r="AO346" s="212"/>
      <c r="AP346" s="196"/>
      <c r="AQ346" s="196"/>
      <c r="AR346" s="211"/>
      <c r="AS346" s="212">
        <f t="shared" si="47"/>
        <v>-4.8270140098338741E-7</v>
      </c>
      <c r="AT346" s="212">
        <f>[1]!LIM(AT345+Mode*r0*((1+IntegrationStep/2/Ti+Td/IntegrationStep)*AS346-(1-IntegrationStep/2/Ti+2*Td/IntegrationStep)*AS345+Td/IntegrationStep*AS344))</f>
        <v>0.4030759628754213</v>
      </c>
      <c r="AU346" s="212">
        <f t="shared" si="48"/>
        <v>40.794124671602574</v>
      </c>
      <c r="AW346" s="58"/>
      <c r="AX346" s="58"/>
      <c r="AY346" s="58"/>
      <c r="AZ346" s="58"/>
    </row>
    <row r="347" spans="1:52" s="185" customFormat="1" ht="15" customHeight="1" x14ac:dyDescent="0.25">
      <c r="A347" s="200"/>
      <c r="B347" s="211"/>
      <c r="C347" s="212">
        <f t="shared" si="49"/>
        <v>33.600000000000207</v>
      </c>
      <c r="D347" s="231">
        <f>15+[1]!STEPLOAD(5)</f>
        <v>20</v>
      </c>
      <c r="E347" s="212">
        <f t="shared" si="51"/>
        <v>40.794171045095943</v>
      </c>
      <c r="F347" s="212">
        <f t="shared" si="52"/>
        <v>0.5</v>
      </c>
      <c r="G347" s="212">
        <f>5</f>
        <v>5</v>
      </c>
      <c r="H347" s="212">
        <f t="shared" si="50"/>
        <v>48.369128389874156</v>
      </c>
      <c r="I347" s="212">
        <f t="shared" si="53"/>
        <v>0.9</v>
      </c>
      <c r="J347" s="212">
        <f>1</f>
        <v>1</v>
      </c>
      <c r="K347" s="212">
        <f t="shared" si="54"/>
        <v>4.1870000000000003</v>
      </c>
      <c r="L347" s="212"/>
      <c r="M347" s="212"/>
      <c r="N347" s="212"/>
      <c r="O347" s="212"/>
      <c r="P347" s="212"/>
      <c r="Q347" s="212"/>
      <c r="R347" s="212"/>
      <c r="S347" s="212"/>
      <c r="T347" s="212"/>
      <c r="U347" s="212"/>
      <c r="V347" s="212"/>
      <c r="W347" s="212"/>
      <c r="X347" s="212"/>
      <c r="Y347" s="212"/>
      <c r="Z347" s="212"/>
      <c r="AA347" s="212"/>
      <c r="AB347" s="212"/>
      <c r="AC347" s="196"/>
      <c r="AD347" s="27"/>
      <c r="AE347" s="213"/>
      <c r="AF347" s="212">
        <f t="shared" si="55"/>
        <v>-1.8224600985217165E-5</v>
      </c>
      <c r="AG347" s="212"/>
      <c r="AH347" s="212"/>
      <c r="AI347" s="212"/>
      <c r="AJ347" s="212"/>
      <c r="AK347" s="212"/>
      <c r="AL347" s="212"/>
      <c r="AM347" s="212"/>
      <c r="AN347" s="212"/>
      <c r="AO347" s="212"/>
      <c r="AP347" s="196"/>
      <c r="AQ347" s="196"/>
      <c r="AR347" s="211"/>
      <c r="AS347" s="212">
        <f t="shared" si="47"/>
        <v>-4.6373493368889739E-7</v>
      </c>
      <c r="AT347" s="212">
        <f>[1]!LIM(AT346+Mode*r0*((1+IntegrationStep/2/Ti+Td/IntegrationStep)*AS347-(1-IntegrationStep/2/Ti+2*Td/IntegrationStep)*AS346+Td/IntegrationStep*AS345))</f>
        <v>0.40307606991561795</v>
      </c>
      <c r="AU347" s="212">
        <f t="shared" si="48"/>
        <v>40.794124671602574</v>
      </c>
      <c r="AW347" s="58"/>
      <c r="AX347" s="58"/>
      <c r="AY347" s="58"/>
      <c r="AZ347" s="58"/>
    </row>
    <row r="348" spans="1:52" s="185" customFormat="1" ht="15" customHeight="1" x14ac:dyDescent="0.25">
      <c r="A348" s="200"/>
      <c r="B348" s="211"/>
      <c r="C348" s="212">
        <f t="shared" si="49"/>
        <v>33.700000000000209</v>
      </c>
      <c r="D348" s="231">
        <f>15+[1]!STEPLOAD(5)</f>
        <v>20</v>
      </c>
      <c r="E348" s="212">
        <f t="shared" si="51"/>
        <v>40.794169222635844</v>
      </c>
      <c r="F348" s="212">
        <f t="shared" si="52"/>
        <v>0.5</v>
      </c>
      <c r="G348" s="212">
        <f>5</f>
        <v>5</v>
      </c>
      <c r="H348" s="212">
        <f t="shared" si="50"/>
        <v>48.369140736137446</v>
      </c>
      <c r="I348" s="212">
        <f t="shared" si="53"/>
        <v>0.9</v>
      </c>
      <c r="J348" s="212">
        <f>1</f>
        <v>1</v>
      </c>
      <c r="K348" s="212">
        <f t="shared" si="54"/>
        <v>4.1870000000000003</v>
      </c>
      <c r="L348" s="212"/>
      <c r="M348" s="212"/>
      <c r="N348" s="212"/>
      <c r="O348" s="212"/>
      <c r="P348" s="212"/>
      <c r="Q348" s="212"/>
      <c r="R348" s="212"/>
      <c r="S348" s="212"/>
      <c r="T348" s="212"/>
      <c r="U348" s="212"/>
      <c r="V348" s="212"/>
      <c r="W348" s="212"/>
      <c r="X348" s="212"/>
      <c r="Y348" s="212"/>
      <c r="Z348" s="212"/>
      <c r="AA348" s="212"/>
      <c r="AB348" s="212"/>
      <c r="AC348" s="196"/>
      <c r="AD348" s="27"/>
      <c r="AE348" s="213"/>
      <c r="AF348" s="212">
        <f t="shared" si="55"/>
        <v>-1.7511586550611469E-5</v>
      </c>
      <c r="AG348" s="212"/>
      <c r="AH348" s="212"/>
      <c r="AI348" s="212"/>
      <c r="AJ348" s="212"/>
      <c r="AK348" s="212"/>
      <c r="AL348" s="212"/>
      <c r="AM348" s="212"/>
      <c r="AN348" s="212"/>
      <c r="AO348" s="212"/>
      <c r="AP348" s="196"/>
      <c r="AQ348" s="196"/>
      <c r="AR348" s="211"/>
      <c r="AS348" s="212">
        <f t="shared" si="47"/>
        <v>-4.455103326961307E-7</v>
      </c>
      <c r="AT348" s="212">
        <f>[1]!LIM(AT347+Mode*r0*((1+IntegrationStep/2/Ti+Td/IntegrationStep)*AS348-(1-IntegrationStep/2/Ti+2*Td/IntegrationStep)*AS347+Td/IntegrationStep*AS346))</f>
        <v>0.40307617280114538</v>
      </c>
      <c r="AU348" s="212">
        <f t="shared" si="48"/>
        <v>40.794124671602574</v>
      </c>
      <c r="AW348" s="58"/>
      <c r="AX348" s="58"/>
      <c r="AY348" s="58"/>
      <c r="AZ348" s="58"/>
    </row>
    <row r="349" spans="1:52" s="185" customFormat="1" ht="15" customHeight="1" x14ac:dyDescent="0.25">
      <c r="A349" s="200"/>
      <c r="B349" s="211"/>
      <c r="C349" s="212">
        <f t="shared" si="49"/>
        <v>33.80000000000021</v>
      </c>
      <c r="D349" s="231">
        <f>15+[1]!STEPLOAD(5)</f>
        <v>20</v>
      </c>
      <c r="E349" s="212">
        <f t="shared" si="51"/>
        <v>40.794167471477188</v>
      </c>
      <c r="F349" s="212">
        <f t="shared" si="52"/>
        <v>0.5</v>
      </c>
      <c r="G349" s="212">
        <f>5</f>
        <v>5</v>
      </c>
      <c r="H349" s="212">
        <f t="shared" si="50"/>
        <v>48.369152603038984</v>
      </c>
      <c r="I349" s="212">
        <f t="shared" si="53"/>
        <v>0.9</v>
      </c>
      <c r="J349" s="212">
        <f>1</f>
        <v>1</v>
      </c>
      <c r="K349" s="212">
        <f t="shared" si="54"/>
        <v>4.1870000000000003</v>
      </c>
      <c r="L349" s="212"/>
      <c r="M349" s="212"/>
      <c r="N349" s="212"/>
      <c r="O349" s="212"/>
      <c r="P349" s="212"/>
      <c r="Q349" s="212"/>
      <c r="R349" s="212"/>
      <c r="S349" s="212"/>
      <c r="T349" s="212"/>
      <c r="U349" s="212"/>
      <c r="V349" s="212"/>
      <c r="W349" s="212"/>
      <c r="X349" s="212"/>
      <c r="Y349" s="212"/>
      <c r="Z349" s="212"/>
      <c r="AA349" s="212"/>
      <c r="AB349" s="212"/>
      <c r="AC349" s="196"/>
      <c r="AD349" s="27"/>
      <c r="AE349" s="213"/>
      <c r="AF349" s="212">
        <f t="shared" si="55"/>
        <v>-1.6826310122564081E-5</v>
      </c>
      <c r="AG349" s="212"/>
      <c r="AH349" s="212"/>
      <c r="AI349" s="212"/>
      <c r="AJ349" s="212"/>
      <c r="AK349" s="212"/>
      <c r="AL349" s="212"/>
      <c r="AM349" s="212"/>
      <c r="AN349" s="212"/>
      <c r="AO349" s="212"/>
      <c r="AP349" s="196"/>
      <c r="AQ349" s="196"/>
      <c r="AR349" s="211"/>
      <c r="AS349" s="212">
        <f t="shared" si="47"/>
        <v>-4.2799874613308473E-7</v>
      </c>
      <c r="AT349" s="212">
        <f>[1]!LIM(AT348+Mode*r0*((1+IntegrationStep/2/Ti+Td/IntegrationStep)*AS349-(1-IntegrationStep/2/Ti+2*Td/IntegrationStep)*AS348+Td/IntegrationStep*AS347))</f>
        <v>0.40307627169199156</v>
      </c>
      <c r="AU349" s="212">
        <f t="shared" si="48"/>
        <v>40.794124671602574</v>
      </c>
      <c r="AW349" s="58"/>
      <c r="AX349" s="58"/>
      <c r="AY349" s="58"/>
      <c r="AZ349" s="58"/>
    </row>
    <row r="350" spans="1:52" s="185" customFormat="1" ht="15" customHeight="1" x14ac:dyDescent="0.25">
      <c r="A350" s="200"/>
      <c r="B350" s="211"/>
      <c r="C350" s="212">
        <f t="shared" si="49"/>
        <v>33.900000000000212</v>
      </c>
      <c r="D350" s="231">
        <f>15+[1]!STEPLOAD(5)</f>
        <v>20</v>
      </c>
      <c r="E350" s="212">
        <f t="shared" si="51"/>
        <v>40.794165788846179</v>
      </c>
      <c r="F350" s="212">
        <f t="shared" si="52"/>
        <v>0.5</v>
      </c>
      <c r="G350" s="212">
        <f>5</f>
        <v>5</v>
      </c>
      <c r="H350" s="212">
        <f t="shared" si="50"/>
        <v>48.369164009045548</v>
      </c>
      <c r="I350" s="212">
        <f t="shared" si="53"/>
        <v>0.9</v>
      </c>
      <c r="J350" s="212">
        <f>1</f>
        <v>1</v>
      </c>
      <c r="K350" s="212">
        <f t="shared" si="54"/>
        <v>4.1870000000000003</v>
      </c>
      <c r="L350" s="212"/>
      <c r="M350" s="212"/>
      <c r="N350" s="212"/>
      <c r="O350" s="212"/>
      <c r="P350" s="212"/>
      <c r="Q350" s="212"/>
      <c r="R350" s="212"/>
      <c r="S350" s="212"/>
      <c r="T350" s="212"/>
      <c r="U350" s="212"/>
      <c r="V350" s="212"/>
      <c r="W350" s="212"/>
      <c r="X350" s="212"/>
      <c r="Y350" s="212"/>
      <c r="Z350" s="212"/>
      <c r="AA350" s="212"/>
      <c r="AB350" s="212"/>
      <c r="AC350" s="196"/>
      <c r="AD350" s="27"/>
      <c r="AE350" s="213"/>
      <c r="AF350" s="212">
        <f t="shared" si="55"/>
        <v>-1.6167700429559062E-5</v>
      </c>
      <c r="AG350" s="212"/>
      <c r="AH350" s="212"/>
      <c r="AI350" s="212"/>
      <c r="AJ350" s="212"/>
      <c r="AK350" s="212"/>
      <c r="AL350" s="212"/>
      <c r="AM350" s="212"/>
      <c r="AN350" s="212"/>
      <c r="AO350" s="212"/>
      <c r="AP350" s="196"/>
      <c r="AQ350" s="196"/>
      <c r="AR350" s="211"/>
      <c r="AS350" s="212">
        <f t="shared" si="47"/>
        <v>-4.1117243604560372E-7</v>
      </c>
      <c r="AT350" s="212">
        <f>[1]!LIM(AT349+Mode*r0*((1+IntegrationStep/2/Ti+Td/IntegrationStep)*AS350-(1-IntegrationStep/2/Ti+2*Td/IntegrationStep)*AS349+Td/IntegrationStep*AS348))</f>
        <v>0.40307636674204622</v>
      </c>
      <c r="AU350" s="212">
        <f t="shared" si="48"/>
        <v>40.794124671602574</v>
      </c>
      <c r="AW350" s="58"/>
      <c r="AX350" s="58"/>
      <c r="AY350" s="58"/>
      <c r="AZ350" s="58"/>
    </row>
    <row r="351" spans="1:52" s="185" customFormat="1" ht="15" customHeight="1" x14ac:dyDescent="0.25">
      <c r="A351" s="200"/>
      <c r="B351" s="211"/>
      <c r="C351" s="212">
        <f t="shared" si="49"/>
        <v>34.000000000000213</v>
      </c>
      <c r="D351" s="231">
        <f>15+[1]!STEPLOAD(5)</f>
        <v>20</v>
      </c>
      <c r="E351" s="212">
        <f t="shared" si="51"/>
        <v>40.794164172076137</v>
      </c>
      <c r="F351" s="212">
        <f t="shared" si="52"/>
        <v>0.5</v>
      </c>
      <c r="G351" s="212">
        <f>5</f>
        <v>5</v>
      </c>
      <c r="H351" s="212">
        <f t="shared" si="50"/>
        <v>48.369174971919946</v>
      </c>
      <c r="I351" s="212">
        <f t="shared" si="53"/>
        <v>0.9</v>
      </c>
      <c r="J351" s="212">
        <f>1</f>
        <v>1</v>
      </c>
      <c r="K351" s="212">
        <f t="shared" si="54"/>
        <v>4.1870000000000003</v>
      </c>
      <c r="L351" s="212"/>
      <c r="M351" s="212"/>
      <c r="N351" s="212"/>
      <c r="O351" s="212"/>
      <c r="P351" s="212"/>
      <c r="Q351" s="212"/>
      <c r="R351" s="212"/>
      <c r="S351" s="212"/>
      <c r="T351" s="212"/>
      <c r="U351" s="212"/>
      <c r="V351" s="212"/>
      <c r="W351" s="212"/>
      <c r="X351" s="212"/>
      <c r="Y351" s="212"/>
      <c r="Z351" s="212"/>
      <c r="AA351" s="212"/>
      <c r="AB351" s="212"/>
      <c r="AC351" s="196"/>
      <c r="AD351" s="27"/>
      <c r="AE351" s="213"/>
      <c r="AF351" s="212">
        <f t="shared" si="55"/>
        <v>-1.5534727176635954E-5</v>
      </c>
      <c r="AG351" s="212"/>
      <c r="AH351" s="212"/>
      <c r="AI351" s="212"/>
      <c r="AJ351" s="212"/>
      <c r="AK351" s="212"/>
      <c r="AL351" s="212"/>
      <c r="AM351" s="212"/>
      <c r="AN351" s="212"/>
      <c r="AO351" s="212"/>
      <c r="AP351" s="196"/>
      <c r="AQ351" s="196"/>
      <c r="AR351" s="211"/>
      <c r="AS351" s="212">
        <f t="shared" si="47"/>
        <v>-3.9500473562270601E-7</v>
      </c>
      <c r="AT351" s="212">
        <f>[1]!LIM(AT350+Mode*r0*((1+IntegrationStep/2/Ti+Td/IntegrationStep)*AS351-(1-IntegrationStep/2/Ti+2*Td/IntegrationStep)*AS350+Td/IntegrationStep*AS349))</f>
        <v>0.4030764580993329</v>
      </c>
      <c r="AU351" s="212">
        <f t="shared" si="48"/>
        <v>40.794124671602574</v>
      </c>
      <c r="AW351" s="58"/>
      <c r="AX351" s="58"/>
      <c r="AY351" s="58"/>
      <c r="AZ351" s="58"/>
    </row>
    <row r="352" spans="1:52" s="185" customFormat="1" ht="15" customHeight="1" x14ac:dyDescent="0.25">
      <c r="A352" s="200"/>
      <c r="B352" s="211"/>
      <c r="C352" s="212">
        <f t="shared" si="49"/>
        <v>34.100000000000215</v>
      </c>
      <c r="D352" s="231">
        <f>15+[1]!STEPLOAD(5)</f>
        <v>20</v>
      </c>
      <c r="E352" s="212">
        <f t="shared" si="51"/>
        <v>40.794162618603416</v>
      </c>
      <c r="F352" s="212">
        <f t="shared" si="52"/>
        <v>0.5</v>
      </c>
      <c r="G352" s="212">
        <f>5</f>
        <v>5</v>
      </c>
      <c r="H352" s="212">
        <f t="shared" si="50"/>
        <v>48.369185508747186</v>
      </c>
      <c r="I352" s="212">
        <f t="shared" si="53"/>
        <v>0.9</v>
      </c>
      <c r="J352" s="212">
        <f>1</f>
        <v>1</v>
      </c>
      <c r="K352" s="212">
        <f t="shared" si="54"/>
        <v>4.1870000000000003</v>
      </c>
      <c r="L352" s="212"/>
      <c r="M352" s="212"/>
      <c r="N352" s="212"/>
      <c r="O352" s="212"/>
      <c r="P352" s="212"/>
      <c r="Q352" s="212"/>
      <c r="R352" s="212"/>
      <c r="S352" s="212"/>
      <c r="T352" s="212"/>
      <c r="U352" s="212"/>
      <c r="V352" s="212"/>
      <c r="W352" s="212"/>
      <c r="X352" s="212"/>
      <c r="Y352" s="212"/>
      <c r="Z352" s="212"/>
      <c r="AA352" s="212"/>
      <c r="AB352" s="212"/>
      <c r="AC352" s="196"/>
      <c r="AD352" s="27"/>
      <c r="AE352" s="213"/>
      <c r="AF352" s="212">
        <f t="shared" si="55"/>
        <v>-1.4926399511949739E-5</v>
      </c>
      <c r="AG352" s="212"/>
      <c r="AH352" s="212"/>
      <c r="AI352" s="212"/>
      <c r="AJ352" s="212"/>
      <c r="AK352" s="212"/>
      <c r="AL352" s="212"/>
      <c r="AM352" s="212"/>
      <c r="AN352" s="212"/>
      <c r="AO352" s="212"/>
      <c r="AP352" s="196"/>
      <c r="AQ352" s="196"/>
      <c r="AR352" s="211"/>
      <c r="AS352" s="212">
        <f t="shared" si="47"/>
        <v>-3.7947000841143109E-7</v>
      </c>
      <c r="AT352" s="212">
        <f>[1]!LIM(AT351+Mode*r0*((1+IntegrationStep/2/Ti+Td/IntegrationStep)*AS352-(1-IntegrationStep/2/Ti+2*Td/IntegrationStep)*AS351+Td/IntegrationStep*AS350))</f>
        <v>0.40307654590622655</v>
      </c>
      <c r="AU352" s="212">
        <f t="shared" si="48"/>
        <v>40.794124671602574</v>
      </c>
      <c r="AW352" s="58"/>
      <c r="AX352" s="58"/>
      <c r="AY352" s="58"/>
      <c r="AZ352" s="58"/>
    </row>
    <row r="353" spans="1:52" s="185" customFormat="1" ht="15" customHeight="1" x14ac:dyDescent="0.25">
      <c r="A353" s="200"/>
      <c r="B353" s="211"/>
      <c r="C353" s="212">
        <f t="shared" si="49"/>
        <v>34.200000000000216</v>
      </c>
      <c r="D353" s="231">
        <f>15+[1]!STEPLOAD(5)</f>
        <v>20</v>
      </c>
      <c r="E353" s="212">
        <f t="shared" si="51"/>
        <v>40.794161125963463</v>
      </c>
      <c r="F353" s="212">
        <f t="shared" si="52"/>
        <v>0.5</v>
      </c>
      <c r="G353" s="212">
        <f>5</f>
        <v>5</v>
      </c>
      <c r="H353" s="212">
        <f t="shared" si="50"/>
        <v>48.369195635959947</v>
      </c>
      <c r="I353" s="212">
        <f t="shared" si="53"/>
        <v>0.9</v>
      </c>
      <c r="J353" s="212">
        <f>1</f>
        <v>1</v>
      </c>
      <c r="K353" s="212">
        <f t="shared" si="54"/>
        <v>4.1870000000000003</v>
      </c>
      <c r="L353" s="212"/>
      <c r="M353" s="212"/>
      <c r="N353" s="212"/>
      <c r="O353" s="212"/>
      <c r="P353" s="212"/>
      <c r="Q353" s="212"/>
      <c r="R353" s="212"/>
      <c r="S353" s="212"/>
      <c r="T353" s="212"/>
      <c r="U353" s="212"/>
      <c r="V353" s="212"/>
      <c r="W353" s="212"/>
      <c r="X353" s="212"/>
      <c r="Y353" s="212"/>
      <c r="Z353" s="212"/>
      <c r="AA353" s="212"/>
      <c r="AB353" s="212"/>
      <c r="AC353" s="196"/>
      <c r="AD353" s="27"/>
      <c r="AE353" s="213"/>
      <c r="AF353" s="212">
        <f t="shared" si="55"/>
        <v>-1.4341764535519275E-5</v>
      </c>
      <c r="AG353" s="212"/>
      <c r="AH353" s="212"/>
      <c r="AI353" s="212"/>
      <c r="AJ353" s="212"/>
      <c r="AK353" s="212"/>
      <c r="AL353" s="212"/>
      <c r="AM353" s="212"/>
      <c r="AN353" s="212"/>
      <c r="AO353" s="212"/>
      <c r="AP353" s="196"/>
      <c r="AQ353" s="196"/>
      <c r="AR353" s="211"/>
      <c r="AS353" s="212">
        <f t="shared" si="47"/>
        <v>-3.6454360888171775E-7</v>
      </c>
      <c r="AT353" s="212">
        <f>[1]!LIM(AT352+Mode*r0*((1+IntegrationStep/2/Ti+Td/IntegrationStep)*AS353-(1-IntegrationStep/2/Ti+2*Td/IntegrationStep)*AS352+Td/IntegrationStep*AS351))</f>
        <v>0.40307663029966623</v>
      </c>
      <c r="AU353" s="212">
        <f t="shared" si="48"/>
        <v>40.794124671602574</v>
      </c>
      <c r="AW353" s="58"/>
      <c r="AX353" s="58"/>
      <c r="AY353" s="58"/>
      <c r="AZ353" s="58"/>
    </row>
    <row r="354" spans="1:52" s="185" customFormat="1" ht="15" customHeight="1" x14ac:dyDescent="0.25">
      <c r="A354" s="200"/>
      <c r="B354" s="211"/>
      <c r="C354" s="212">
        <f t="shared" si="49"/>
        <v>34.300000000000217</v>
      </c>
      <c r="D354" s="231">
        <f>15+[1]!STEPLOAD(5)</f>
        <v>20</v>
      </c>
      <c r="E354" s="212">
        <f t="shared" si="51"/>
        <v>40.794159691787009</v>
      </c>
      <c r="F354" s="212">
        <f t="shared" si="52"/>
        <v>0.5</v>
      </c>
      <c r="G354" s="212">
        <f>5</f>
        <v>5</v>
      </c>
      <c r="H354" s="212">
        <f t="shared" si="50"/>
        <v>48.369205369363421</v>
      </c>
      <c r="I354" s="212">
        <f t="shared" si="53"/>
        <v>0.9</v>
      </c>
      <c r="J354" s="212">
        <f>1</f>
        <v>1</v>
      </c>
      <c r="K354" s="212">
        <f t="shared" si="54"/>
        <v>4.1870000000000003</v>
      </c>
      <c r="L354" s="212"/>
      <c r="M354" s="212"/>
      <c r="N354" s="212"/>
      <c r="O354" s="212"/>
      <c r="P354" s="212"/>
      <c r="Q354" s="212"/>
      <c r="R354" s="212"/>
      <c r="S354" s="212"/>
      <c r="T354" s="212"/>
      <c r="U354" s="212"/>
      <c r="V354" s="212"/>
      <c r="W354" s="212"/>
      <c r="X354" s="212"/>
      <c r="Y354" s="212"/>
      <c r="Z354" s="212"/>
      <c r="AA354" s="212"/>
      <c r="AB354" s="212"/>
      <c r="AC354" s="196"/>
      <c r="AD354" s="27"/>
      <c r="AE354" s="213"/>
      <c r="AF354" s="212">
        <f t="shared" si="55"/>
        <v>-1.3779905852828733E-5</v>
      </c>
      <c r="AG354" s="212"/>
      <c r="AH354" s="212"/>
      <c r="AI354" s="212"/>
      <c r="AJ354" s="212"/>
      <c r="AK354" s="212"/>
      <c r="AL354" s="212"/>
      <c r="AM354" s="212"/>
      <c r="AN354" s="212"/>
      <c r="AO354" s="212"/>
      <c r="AP354" s="196"/>
      <c r="AQ354" s="196"/>
      <c r="AR354" s="211"/>
      <c r="AS354" s="212">
        <f t="shared" si="47"/>
        <v>-3.5020184434131353E-7</v>
      </c>
      <c r="AT354" s="212">
        <f>[1]!LIM(AT353+Mode*r0*((1+IntegrationStep/2/Ti+Td/IntegrationStep)*AS354-(1-IntegrationStep/2/Ti+2*Td/IntegrationStep)*AS353+Td/IntegrationStep*AS352))</f>
        <v>0.40307671141136187</v>
      </c>
      <c r="AU354" s="212">
        <f t="shared" si="48"/>
        <v>40.794124671602574</v>
      </c>
      <c r="AW354" s="58"/>
      <c r="AX354" s="58"/>
      <c r="AY354" s="58"/>
      <c r="AZ354" s="58"/>
    </row>
    <row r="355" spans="1:52" s="185" customFormat="1" ht="15" customHeight="1" x14ac:dyDescent="0.25">
      <c r="A355" s="200"/>
      <c r="B355" s="211"/>
      <c r="C355" s="212">
        <f t="shared" si="49"/>
        <v>34.400000000000219</v>
      </c>
      <c r="D355" s="231">
        <f>15+[1]!STEPLOAD(5)</f>
        <v>20</v>
      </c>
      <c r="E355" s="212">
        <f t="shared" si="51"/>
        <v>40.794158313796423</v>
      </c>
      <c r="F355" s="212">
        <f t="shared" si="52"/>
        <v>0.5</v>
      </c>
      <c r="G355" s="212">
        <f>5</f>
        <v>5</v>
      </c>
      <c r="H355" s="212">
        <f t="shared" si="50"/>
        <v>48.369214724158851</v>
      </c>
      <c r="I355" s="212">
        <f t="shared" si="53"/>
        <v>0.9</v>
      </c>
      <c r="J355" s="212">
        <f>1</f>
        <v>1</v>
      </c>
      <c r="K355" s="212">
        <f t="shared" si="54"/>
        <v>4.1870000000000003</v>
      </c>
      <c r="L355" s="212"/>
      <c r="M355" s="212"/>
      <c r="N355" s="212"/>
      <c r="O355" s="212"/>
      <c r="P355" s="212"/>
      <c r="Q355" s="212"/>
      <c r="R355" s="212"/>
      <c r="S355" s="212"/>
      <c r="T355" s="212"/>
      <c r="U355" s="212"/>
      <c r="V355" s="212"/>
      <c r="W355" s="212"/>
      <c r="X355" s="212"/>
      <c r="Y355" s="212"/>
      <c r="Z355" s="212"/>
      <c r="AA355" s="212"/>
      <c r="AB355" s="212"/>
      <c r="AC355" s="196"/>
      <c r="AD355" s="27"/>
      <c r="AE355" s="213"/>
      <c r="AF355" s="212">
        <f t="shared" si="55"/>
        <v>-1.3239942194598342E-5</v>
      </c>
      <c r="AG355" s="212"/>
      <c r="AH355" s="212"/>
      <c r="AI355" s="212"/>
      <c r="AJ355" s="212"/>
      <c r="AK355" s="212"/>
      <c r="AL355" s="212"/>
      <c r="AM355" s="212"/>
      <c r="AN355" s="212"/>
      <c r="AO355" s="212"/>
      <c r="AP355" s="196"/>
      <c r="AQ355" s="196"/>
      <c r="AR355" s="211"/>
      <c r="AS355" s="212">
        <f t="shared" si="47"/>
        <v>-3.3642193848493206E-7</v>
      </c>
      <c r="AT355" s="212">
        <f>[1]!LIM(AT354+Mode*r0*((1+IntegrationStep/2/Ti+Td/IntegrationStep)*AS355-(1-IntegrationStep/2/Ti+2*Td/IntegrationStep)*AS354+Td/IntegrationStep*AS353))</f>
        <v>0.40307678936799041</v>
      </c>
      <c r="AU355" s="212">
        <f t="shared" si="48"/>
        <v>40.794124671602574</v>
      </c>
      <c r="AW355" s="58"/>
      <c r="AX355" s="58"/>
      <c r="AY355" s="58"/>
      <c r="AZ355" s="58"/>
    </row>
    <row r="356" spans="1:52" s="185" customFormat="1" ht="15" customHeight="1" x14ac:dyDescent="0.25">
      <c r="A356" s="200"/>
      <c r="B356" s="211"/>
      <c r="C356" s="212">
        <f t="shared" si="49"/>
        <v>34.50000000000022</v>
      </c>
      <c r="D356" s="231">
        <f>15+[1]!STEPLOAD(5)</f>
        <v>20</v>
      </c>
      <c r="E356" s="212">
        <f t="shared" si="51"/>
        <v>40.794156989802204</v>
      </c>
      <c r="F356" s="212">
        <f t="shared" si="52"/>
        <v>0.5</v>
      </c>
      <c r="G356" s="212">
        <f>5</f>
        <v>5</v>
      </c>
      <c r="H356" s="212">
        <f t="shared" si="50"/>
        <v>48.36922371496626</v>
      </c>
      <c r="I356" s="212">
        <f t="shared" si="53"/>
        <v>0.9</v>
      </c>
      <c r="J356" s="212">
        <f>1</f>
        <v>1</v>
      </c>
      <c r="K356" s="212">
        <f t="shared" si="54"/>
        <v>4.1870000000000003</v>
      </c>
      <c r="L356" s="212"/>
      <c r="M356" s="212"/>
      <c r="N356" s="212"/>
      <c r="O356" s="212"/>
      <c r="P356" s="212"/>
      <c r="Q356" s="212"/>
      <c r="R356" s="212"/>
      <c r="S356" s="212"/>
      <c r="T356" s="212"/>
      <c r="U356" s="212"/>
      <c r="V356" s="212"/>
      <c r="W356" s="212"/>
      <c r="X356" s="212"/>
      <c r="Y356" s="212"/>
      <c r="Z356" s="212"/>
      <c r="AA356" s="212"/>
      <c r="AB356" s="212"/>
      <c r="AC356" s="196"/>
      <c r="AD356" s="27"/>
      <c r="AE356" s="213"/>
      <c r="AF356" s="212">
        <f t="shared" si="55"/>
        <v>-1.2721026094286714E-5</v>
      </c>
      <c r="AG356" s="212"/>
      <c r="AH356" s="212"/>
      <c r="AI356" s="212"/>
      <c r="AJ356" s="212"/>
      <c r="AK356" s="212"/>
      <c r="AL356" s="212"/>
      <c r="AM356" s="212"/>
      <c r="AN356" s="212"/>
      <c r="AO356" s="212"/>
      <c r="AP356" s="196"/>
      <c r="AQ356" s="196"/>
      <c r="AR356" s="211"/>
      <c r="AS356" s="212">
        <f t="shared" si="47"/>
        <v>-3.2318199629344234E-7</v>
      </c>
      <c r="AT356" s="212">
        <f>[1]!LIM(AT355+Mode*r0*((1+IntegrationStep/2/Ti+Td/IntegrationStep)*AS356-(1-IntegrationStep/2/Ti+2*Td/IntegrationStep)*AS355+Td/IntegrationStep*AS354))</f>
        <v>0.40307686429138551</v>
      </c>
      <c r="AU356" s="212">
        <f t="shared" si="48"/>
        <v>40.794124671602574</v>
      </c>
      <c r="AW356" s="58"/>
      <c r="AX356" s="58"/>
      <c r="AY356" s="58"/>
      <c r="AZ356" s="58"/>
    </row>
    <row r="357" spans="1:52" s="185" customFormat="1" ht="15" customHeight="1" x14ac:dyDescent="0.25">
      <c r="A357" s="200"/>
      <c r="B357" s="211"/>
      <c r="C357" s="212">
        <f t="shared" si="49"/>
        <v>34.600000000000222</v>
      </c>
      <c r="D357" s="231">
        <f>15+[1]!STEPLOAD(5)</f>
        <v>20</v>
      </c>
      <c r="E357" s="212">
        <f t="shared" si="51"/>
        <v>40.794155717699596</v>
      </c>
      <c r="F357" s="212">
        <f t="shared" si="52"/>
        <v>0.5</v>
      </c>
      <c r="G357" s="212">
        <f>5</f>
        <v>5</v>
      </c>
      <c r="H357" s="212">
        <f t="shared" si="50"/>
        <v>48.369232355846457</v>
      </c>
      <c r="I357" s="212">
        <f t="shared" si="53"/>
        <v>0.9</v>
      </c>
      <c r="J357" s="212">
        <f>1</f>
        <v>1</v>
      </c>
      <c r="K357" s="212">
        <f t="shared" si="54"/>
        <v>4.1870000000000003</v>
      </c>
      <c r="L357" s="212"/>
      <c r="M357" s="212"/>
      <c r="N357" s="212"/>
      <c r="O357" s="212"/>
      <c r="P357" s="212"/>
      <c r="Q357" s="212"/>
      <c r="R357" s="212"/>
      <c r="S357" s="212"/>
      <c r="T357" s="212"/>
      <c r="U357" s="212"/>
      <c r="V357" s="212"/>
      <c r="W357" s="212"/>
      <c r="X357" s="212"/>
      <c r="Y357" s="212"/>
      <c r="Z357" s="212"/>
      <c r="AA357" s="212"/>
      <c r="AB357" s="212"/>
      <c r="AC357" s="196"/>
      <c r="AD357" s="27"/>
      <c r="AE357" s="213"/>
      <c r="AF357" s="212">
        <f t="shared" si="55"/>
        <v>-1.2222342598455782E-5</v>
      </c>
      <c r="AG357" s="212"/>
      <c r="AH357" s="212"/>
      <c r="AI357" s="212"/>
      <c r="AJ357" s="212"/>
      <c r="AK357" s="212"/>
      <c r="AL357" s="212"/>
      <c r="AM357" s="212"/>
      <c r="AN357" s="212"/>
      <c r="AO357" s="212"/>
      <c r="AP357" s="196"/>
      <c r="AQ357" s="196"/>
      <c r="AR357" s="211"/>
      <c r="AS357" s="212">
        <f t="shared" si="47"/>
        <v>-3.1046097021203422E-7</v>
      </c>
      <c r="AT357" s="212">
        <f>[1]!LIM(AT356+Mode*r0*((1+IntegrationStep/2/Ti+Td/IntegrationStep)*AS357-(1-IntegrationStep/2/Ti+2*Td/IntegrationStep)*AS356+Td/IntegrationStep*AS355))</f>
        <v>0.40307693629872049</v>
      </c>
      <c r="AU357" s="212">
        <f t="shared" si="48"/>
        <v>40.794124671602574</v>
      </c>
      <c r="AW357" s="58"/>
      <c r="AX357" s="58"/>
      <c r="AY357" s="58"/>
      <c r="AZ357" s="58"/>
    </row>
    <row r="358" spans="1:52" s="185" customFormat="1" ht="15" customHeight="1" x14ac:dyDescent="0.25">
      <c r="A358" s="200"/>
      <c r="B358" s="211"/>
      <c r="C358" s="212">
        <f t="shared" si="49"/>
        <v>34.700000000000223</v>
      </c>
      <c r="D358" s="231">
        <f>15+[1]!STEPLOAD(5)</f>
        <v>20</v>
      </c>
      <c r="E358" s="212">
        <f t="shared" si="51"/>
        <v>40.794154495465335</v>
      </c>
      <c r="F358" s="212">
        <f t="shared" si="52"/>
        <v>0.5</v>
      </c>
      <c r="G358" s="212">
        <f>5</f>
        <v>5</v>
      </c>
      <c r="H358" s="212">
        <f t="shared" si="50"/>
        <v>48.369240660322198</v>
      </c>
      <c r="I358" s="212">
        <f t="shared" si="53"/>
        <v>0.9</v>
      </c>
      <c r="J358" s="212">
        <f>1</f>
        <v>1</v>
      </c>
      <c r="K358" s="212">
        <f t="shared" si="54"/>
        <v>4.1870000000000003</v>
      </c>
      <c r="L358" s="212"/>
      <c r="M358" s="212"/>
      <c r="N358" s="212"/>
      <c r="O358" s="212"/>
      <c r="P358" s="212"/>
      <c r="Q358" s="212"/>
      <c r="R358" s="212"/>
      <c r="S358" s="212"/>
      <c r="T358" s="212"/>
      <c r="U358" s="212"/>
      <c r="V358" s="212"/>
      <c r="W358" s="212"/>
      <c r="X358" s="212"/>
      <c r="Y358" s="212"/>
      <c r="Z358" s="212"/>
      <c r="AA358" s="212"/>
      <c r="AB358" s="212"/>
      <c r="AC358" s="196"/>
      <c r="AD358" s="27"/>
      <c r="AE358" s="213"/>
      <c r="AF358" s="212">
        <f t="shared" si="55"/>
        <v>-1.1743108034867333E-5</v>
      </c>
      <c r="AG358" s="212"/>
      <c r="AH358" s="212"/>
      <c r="AI358" s="212"/>
      <c r="AJ358" s="212"/>
      <c r="AK358" s="212"/>
      <c r="AL358" s="212"/>
      <c r="AM358" s="212"/>
      <c r="AN358" s="212"/>
      <c r="AO358" s="212"/>
      <c r="AP358" s="196"/>
      <c r="AQ358" s="196"/>
      <c r="AR358" s="211"/>
      <c r="AS358" s="212">
        <f t="shared" si="47"/>
        <v>-2.9823862760736121E-7</v>
      </c>
      <c r="AT358" s="212">
        <f>[1]!LIM(AT357+Mode*r0*((1+IntegrationStep/2/Ti+Td/IntegrationStep)*AS358-(1-IntegrationStep/2/Ti+2*Td/IntegrationStep)*AS357+Td/IntegrationStep*AS356))</f>
        <v>0.40307700550268499</v>
      </c>
      <c r="AU358" s="212">
        <f t="shared" si="48"/>
        <v>40.794124671602574</v>
      </c>
      <c r="AW358" s="58"/>
      <c r="AX358" s="58"/>
      <c r="AY358" s="58"/>
      <c r="AZ358" s="58"/>
    </row>
    <row r="359" spans="1:52" s="185" customFormat="1" ht="15" customHeight="1" x14ac:dyDescent="0.25">
      <c r="A359" s="200"/>
      <c r="B359" s="211"/>
      <c r="C359" s="212">
        <f t="shared" si="49"/>
        <v>34.800000000000225</v>
      </c>
      <c r="D359" s="231">
        <f>15+[1]!STEPLOAD(5)</f>
        <v>20</v>
      </c>
      <c r="E359" s="212">
        <f t="shared" si="51"/>
        <v>40.794153321154532</v>
      </c>
      <c r="F359" s="212">
        <f t="shared" si="52"/>
        <v>0.5</v>
      </c>
      <c r="G359" s="212">
        <f>5</f>
        <v>5</v>
      </c>
      <c r="H359" s="212">
        <f t="shared" si="50"/>
        <v>48.369248641398343</v>
      </c>
      <c r="I359" s="212">
        <f t="shared" si="53"/>
        <v>0.9</v>
      </c>
      <c r="J359" s="212">
        <f>1</f>
        <v>1</v>
      </c>
      <c r="K359" s="212">
        <f t="shared" si="54"/>
        <v>4.1870000000000003</v>
      </c>
      <c r="L359" s="212"/>
      <c r="M359" s="212"/>
      <c r="N359" s="212"/>
      <c r="O359" s="212"/>
      <c r="P359" s="212"/>
      <c r="Q359" s="212"/>
      <c r="R359" s="212"/>
      <c r="S359" s="212"/>
      <c r="T359" s="212"/>
      <c r="U359" s="212"/>
      <c r="V359" s="212"/>
      <c r="W359" s="212"/>
      <c r="X359" s="212"/>
      <c r="Y359" s="212"/>
      <c r="Z359" s="212"/>
      <c r="AA359" s="212"/>
      <c r="AB359" s="212"/>
      <c r="AC359" s="196"/>
      <c r="AD359" s="27"/>
      <c r="AE359" s="213"/>
      <c r="AF359" s="212">
        <f t="shared" si="55"/>
        <v>-1.1282568832537976E-5</v>
      </c>
      <c r="AG359" s="212"/>
      <c r="AH359" s="212"/>
      <c r="AI359" s="212"/>
      <c r="AJ359" s="212"/>
      <c r="AK359" s="212"/>
      <c r="AL359" s="212"/>
      <c r="AM359" s="212"/>
      <c r="AN359" s="212"/>
      <c r="AO359" s="212"/>
      <c r="AP359" s="196"/>
      <c r="AQ359" s="196"/>
      <c r="AR359" s="211"/>
      <c r="AS359" s="212">
        <f t="shared" si="47"/>
        <v>-2.8649551957471432E-7</v>
      </c>
      <c r="AT359" s="212">
        <f>[1]!LIM(AT358+Mode*r0*((1+IntegrationStep/2/Ti+Td/IntegrationStep)*AS359-(1-IntegrationStep/2/Ti+2*Td/IntegrationStep)*AS358+Td/IntegrationStep*AS357))</f>
        <v>0.40307707201165288</v>
      </c>
      <c r="AU359" s="212">
        <f t="shared" si="48"/>
        <v>40.794124671602574</v>
      </c>
      <c r="AW359" s="58"/>
      <c r="AX359" s="58"/>
      <c r="AY359" s="58"/>
      <c r="AZ359" s="58"/>
    </row>
    <row r="360" spans="1:52" s="185" customFormat="1" ht="15" customHeight="1" x14ac:dyDescent="0.25">
      <c r="A360" s="200"/>
      <c r="B360" s="211"/>
      <c r="C360" s="212">
        <f t="shared" si="49"/>
        <v>34.900000000000226</v>
      </c>
      <c r="D360" s="231">
        <f>15+[1]!STEPLOAD(5)</f>
        <v>20</v>
      </c>
      <c r="E360" s="212">
        <f t="shared" si="51"/>
        <v>40.794152192897648</v>
      </c>
      <c r="F360" s="212">
        <f t="shared" si="52"/>
        <v>0.5</v>
      </c>
      <c r="G360" s="212">
        <f>5</f>
        <v>5</v>
      </c>
      <c r="H360" s="212">
        <f t="shared" si="50"/>
        <v>48.369256311581665</v>
      </c>
      <c r="I360" s="212">
        <f t="shared" si="53"/>
        <v>0.9</v>
      </c>
      <c r="J360" s="212">
        <f>1</f>
        <v>1</v>
      </c>
      <c r="K360" s="212">
        <f t="shared" si="54"/>
        <v>4.1870000000000003</v>
      </c>
      <c r="L360" s="212"/>
      <c r="M360" s="212"/>
      <c r="N360" s="212"/>
      <c r="O360" s="212"/>
      <c r="P360" s="212"/>
      <c r="Q360" s="212"/>
      <c r="R360" s="212"/>
      <c r="S360" s="212"/>
      <c r="T360" s="212"/>
      <c r="U360" s="212"/>
      <c r="V360" s="212"/>
      <c r="W360" s="212"/>
      <c r="X360" s="212"/>
      <c r="Y360" s="212"/>
      <c r="Z360" s="212"/>
      <c r="AA360" s="212"/>
      <c r="AB360" s="212"/>
      <c r="AC360" s="196"/>
      <c r="AD360" s="27"/>
      <c r="AE360" s="213"/>
      <c r="AF360" s="212">
        <f t="shared" si="55"/>
        <v>-1.084000036932764E-5</v>
      </c>
      <c r="AG360" s="212"/>
      <c r="AH360" s="212"/>
      <c r="AI360" s="212"/>
      <c r="AJ360" s="212"/>
      <c r="AK360" s="212"/>
      <c r="AL360" s="212"/>
      <c r="AM360" s="212"/>
      <c r="AN360" s="212"/>
      <c r="AO360" s="212"/>
      <c r="AP360" s="196"/>
      <c r="AQ360" s="196"/>
      <c r="AR360" s="211"/>
      <c r="AS360" s="212">
        <f t="shared" si="47"/>
        <v>-2.7521295073995591E-7</v>
      </c>
      <c r="AT360" s="212">
        <f>[1]!LIM(AT359+Mode*r0*((1+IntegrationStep/2/Ti+Td/IntegrationStep)*AS360-(1-IntegrationStep/2/Ti+2*Td/IntegrationStep)*AS359+Td/IntegrationStep*AS358))</f>
        <v>0.40307713592984723</v>
      </c>
      <c r="AU360" s="212">
        <f t="shared" si="48"/>
        <v>40.794124671602574</v>
      </c>
      <c r="AW360" s="58"/>
      <c r="AX360" s="58"/>
      <c r="AY360" s="58"/>
      <c r="AZ360" s="58"/>
    </row>
    <row r="361" spans="1:52" s="185" customFormat="1" ht="15" customHeight="1" x14ac:dyDescent="0.25">
      <c r="A361" s="200"/>
      <c r="B361" s="211"/>
      <c r="C361" s="212">
        <f t="shared" si="49"/>
        <v>35.000000000000227</v>
      </c>
      <c r="D361" s="231">
        <f>15+[1]!STEPLOAD(5)</f>
        <v>20</v>
      </c>
      <c r="E361" s="212">
        <f t="shared" si="51"/>
        <v>40.794151108897609</v>
      </c>
      <c r="F361" s="212">
        <f t="shared" si="52"/>
        <v>0.5</v>
      </c>
      <c r="G361" s="212">
        <f>5</f>
        <v>5</v>
      </c>
      <c r="H361" s="212">
        <f t="shared" si="50"/>
        <v>48.369263682899607</v>
      </c>
      <c r="I361" s="212">
        <f t="shared" si="53"/>
        <v>0.9</v>
      </c>
      <c r="J361" s="212">
        <f>1</f>
        <v>1</v>
      </c>
      <c r="K361" s="212">
        <f t="shared" si="54"/>
        <v>4.1870000000000003</v>
      </c>
      <c r="L361" s="212"/>
      <c r="M361" s="212"/>
      <c r="N361" s="212"/>
      <c r="O361" s="212"/>
      <c r="P361" s="212"/>
      <c r="Q361" s="212"/>
      <c r="R361" s="212"/>
      <c r="S361" s="212"/>
      <c r="T361" s="212"/>
      <c r="U361" s="212"/>
      <c r="V361" s="212"/>
      <c r="W361" s="212"/>
      <c r="X361" s="212"/>
      <c r="Y361" s="212"/>
      <c r="Z361" s="212"/>
      <c r="AA361" s="212"/>
      <c r="AB361" s="212"/>
      <c r="AC361" s="196"/>
      <c r="AD361" s="27"/>
      <c r="AE361" s="213"/>
      <c r="AF361" s="212">
        <f t="shared" si="55"/>
        <v>-1.0414705875039232E-5</v>
      </c>
      <c r="AG361" s="212"/>
      <c r="AH361" s="212"/>
      <c r="AI361" s="212"/>
      <c r="AJ361" s="212"/>
      <c r="AK361" s="212"/>
      <c r="AL361" s="212"/>
      <c r="AM361" s="212"/>
      <c r="AN361" s="212"/>
      <c r="AO361" s="212"/>
      <c r="AP361" s="196"/>
      <c r="AQ361" s="196"/>
      <c r="AR361" s="211"/>
      <c r="AS361" s="212">
        <f t="shared" si="47"/>
        <v>-2.643729503404302E-7</v>
      </c>
      <c r="AT361" s="212">
        <f>[1]!LIM(AT360+Mode*r0*((1+IntegrationStep/2/Ti+Td/IntegrationStep)*AS361-(1-IntegrationStep/2/Ti+2*Td/IntegrationStep)*AS360+Td/IntegrationStep*AS359))</f>
        <v>0.40307719735749675</v>
      </c>
      <c r="AU361" s="212">
        <f t="shared" si="48"/>
        <v>40.794124671602574</v>
      </c>
      <c r="AW361" s="58"/>
      <c r="AX361" s="58"/>
      <c r="AY361" s="58"/>
      <c r="AZ361" s="58"/>
    </row>
    <row r="362" spans="1:52" s="185" customFormat="1" ht="15" customHeight="1" x14ac:dyDescent="0.25">
      <c r="A362" s="200"/>
      <c r="B362" s="211"/>
      <c r="C362" s="212">
        <f t="shared" si="49"/>
        <v>35.100000000000229</v>
      </c>
      <c r="D362" s="231">
        <f>15+[1]!STEPLOAD(5)</f>
        <v>20</v>
      </c>
      <c r="E362" s="212">
        <f t="shared" si="51"/>
        <v>40.794150067427019</v>
      </c>
      <c r="F362" s="212">
        <f t="shared" si="52"/>
        <v>0.5</v>
      </c>
      <c r="G362" s="212">
        <f>5</f>
        <v>5</v>
      </c>
      <c r="H362" s="212">
        <f t="shared" si="50"/>
        <v>48.369270766918341</v>
      </c>
      <c r="I362" s="212">
        <f t="shared" si="53"/>
        <v>0.9</v>
      </c>
      <c r="J362" s="212">
        <f>1</f>
        <v>1</v>
      </c>
      <c r="K362" s="212">
        <f t="shared" si="54"/>
        <v>4.1870000000000003</v>
      </c>
      <c r="L362" s="212"/>
      <c r="M362" s="212"/>
      <c r="N362" s="212"/>
      <c r="O362" s="212"/>
      <c r="P362" s="212"/>
      <c r="Q362" s="212"/>
      <c r="R362" s="212"/>
      <c r="S362" s="212"/>
      <c r="T362" s="212"/>
      <c r="U362" s="212"/>
      <c r="V362" s="212"/>
      <c r="W362" s="212"/>
      <c r="X362" s="212"/>
      <c r="Y362" s="212"/>
      <c r="Z362" s="212"/>
      <c r="AA362" s="212"/>
      <c r="AB362" s="212"/>
      <c r="AC362" s="196"/>
      <c r="AD362" s="27"/>
      <c r="AE362" s="213"/>
      <c r="AF362" s="212">
        <f t="shared" si="55"/>
        <v>-1.0006015379371291E-5</v>
      </c>
      <c r="AG362" s="212"/>
      <c r="AH362" s="212"/>
      <c r="AI362" s="212"/>
      <c r="AJ362" s="212"/>
      <c r="AK362" s="212"/>
      <c r="AL362" s="212"/>
      <c r="AM362" s="212"/>
      <c r="AN362" s="212"/>
      <c r="AO362" s="212"/>
      <c r="AP362" s="196"/>
      <c r="AQ362" s="196"/>
      <c r="AR362" s="211"/>
      <c r="AS362" s="212">
        <f t="shared" si="47"/>
        <v>-2.5395824444274239E-7</v>
      </c>
      <c r="AT362" s="212">
        <f>[1]!LIM(AT361+Mode*r0*((1+IntegrationStep/2/Ti+Td/IntegrationStep)*AS362-(1-IntegrationStep/2/Ti+2*Td/IntegrationStep)*AS361+Td/IntegrationStep*AS360))</f>
        <v>0.40307725639098618</v>
      </c>
      <c r="AU362" s="212">
        <f t="shared" si="48"/>
        <v>40.794124671602574</v>
      </c>
      <c r="AW362" s="58"/>
      <c r="AX362" s="58"/>
      <c r="AY362" s="58"/>
      <c r="AZ362" s="58"/>
    </row>
    <row r="363" spans="1:52" s="185" customFormat="1" ht="15" customHeight="1" x14ac:dyDescent="0.25">
      <c r="A363" s="200"/>
      <c r="B363" s="211"/>
      <c r="C363" s="212">
        <f t="shared" si="49"/>
        <v>35.20000000000023</v>
      </c>
      <c r="D363" s="231">
        <f>15+[1]!STEPLOAD(5)</f>
        <v>20</v>
      </c>
      <c r="E363" s="212">
        <f t="shared" si="51"/>
        <v>40.794149066825483</v>
      </c>
      <c r="F363" s="212">
        <f t="shared" si="52"/>
        <v>0.5</v>
      </c>
      <c r="G363" s="212">
        <f>5</f>
        <v>5</v>
      </c>
      <c r="H363" s="212">
        <f t="shared" si="50"/>
        <v>48.369277574760332</v>
      </c>
      <c r="I363" s="212">
        <f t="shared" si="53"/>
        <v>0.9</v>
      </c>
      <c r="J363" s="212">
        <f>1</f>
        <v>1</v>
      </c>
      <c r="K363" s="212">
        <f t="shared" si="54"/>
        <v>4.1870000000000003</v>
      </c>
      <c r="L363" s="212"/>
      <c r="M363" s="212"/>
      <c r="N363" s="212"/>
      <c r="O363" s="212"/>
      <c r="P363" s="212"/>
      <c r="Q363" s="212"/>
      <c r="R363" s="212"/>
      <c r="S363" s="212"/>
      <c r="T363" s="212"/>
      <c r="U363" s="212"/>
      <c r="V363" s="212"/>
      <c r="W363" s="212"/>
      <c r="X363" s="212"/>
      <c r="Y363" s="212"/>
      <c r="Z363" s="212"/>
      <c r="AA363" s="212"/>
      <c r="AB363" s="212"/>
      <c r="AC363" s="196"/>
      <c r="AD363" s="27"/>
      <c r="AE363" s="213"/>
      <c r="AF363" s="212">
        <f t="shared" si="55"/>
        <v>-9.6132846838514752E-6</v>
      </c>
      <c r="AG363" s="212"/>
      <c r="AH363" s="212"/>
      <c r="AI363" s="212"/>
      <c r="AJ363" s="212"/>
      <c r="AK363" s="212"/>
      <c r="AL363" s="212"/>
      <c r="AM363" s="212"/>
      <c r="AN363" s="212"/>
      <c r="AO363" s="212"/>
      <c r="AP363" s="196"/>
      <c r="AQ363" s="196"/>
      <c r="AR363" s="211"/>
      <c r="AS363" s="212">
        <f t="shared" si="47"/>
        <v>-2.439522290842433E-7</v>
      </c>
      <c r="AT363" s="212">
        <f>[1]!LIM(AT362+Mode*r0*((1+IntegrationStep/2/Ti+Td/IntegrationStep)*AS363-(1-IntegrationStep/2/Ti+2*Td/IntegrationStep)*AS362+Td/IntegrationStep*AS361))</f>
        <v>0.40307731312300277</v>
      </c>
      <c r="AU363" s="212">
        <f t="shared" si="48"/>
        <v>40.794124671602574</v>
      </c>
      <c r="AW363" s="58"/>
      <c r="AX363" s="58"/>
      <c r="AY363" s="58"/>
      <c r="AZ363" s="58"/>
    </row>
    <row r="364" spans="1:52" s="185" customFormat="1" ht="15" customHeight="1" x14ac:dyDescent="0.25">
      <c r="A364" s="200"/>
      <c r="B364" s="211"/>
      <c r="C364" s="212">
        <f t="shared" si="49"/>
        <v>35.300000000000232</v>
      </c>
      <c r="D364" s="231">
        <f>15+[1]!STEPLOAD(5)</f>
        <v>20</v>
      </c>
      <c r="E364" s="212">
        <f t="shared" si="51"/>
        <v>40.794148105497015</v>
      </c>
      <c r="F364" s="212">
        <f t="shared" si="52"/>
        <v>0.5</v>
      </c>
      <c r="G364" s="212">
        <f>5</f>
        <v>5</v>
      </c>
      <c r="H364" s="212">
        <f t="shared" si="50"/>
        <v>48.369284117121346</v>
      </c>
      <c r="I364" s="212">
        <f t="shared" si="53"/>
        <v>0.9</v>
      </c>
      <c r="J364" s="212">
        <f>1</f>
        <v>1</v>
      </c>
      <c r="K364" s="212">
        <f t="shared" si="54"/>
        <v>4.1870000000000003</v>
      </c>
      <c r="L364" s="212"/>
      <c r="M364" s="212"/>
      <c r="N364" s="212"/>
      <c r="O364" s="212"/>
      <c r="P364" s="212"/>
      <c r="Q364" s="212"/>
      <c r="R364" s="212"/>
      <c r="S364" s="212"/>
      <c r="T364" s="212"/>
      <c r="U364" s="212"/>
      <c r="V364" s="212"/>
      <c r="W364" s="212"/>
      <c r="X364" s="212"/>
      <c r="Y364" s="212"/>
      <c r="Z364" s="212"/>
      <c r="AA364" s="212"/>
      <c r="AB364" s="212"/>
      <c r="AC364" s="196"/>
      <c r="AD364" s="27"/>
      <c r="AE364" s="213"/>
      <c r="AF364" s="212">
        <f t="shared" si="55"/>
        <v>-9.2358943777348657E-6</v>
      </c>
      <c r="AG364" s="212"/>
      <c r="AH364" s="212"/>
      <c r="AI364" s="212"/>
      <c r="AJ364" s="212"/>
      <c r="AK364" s="212"/>
      <c r="AL364" s="212"/>
      <c r="AM364" s="212"/>
      <c r="AN364" s="212"/>
      <c r="AO364" s="212"/>
      <c r="AP364" s="196"/>
      <c r="AQ364" s="196"/>
      <c r="AR364" s="211"/>
      <c r="AS364" s="212">
        <f t="shared" si="47"/>
        <v>-2.3433894440927361E-7</v>
      </c>
      <c r="AT364" s="212">
        <f>[1]!LIM(AT363+Mode*r0*((1+IntegrationStep/2/Ti+Td/IntegrationStep)*AS364-(1-IntegrationStep/2/Ti+2*Td/IntegrationStep)*AS363+Td/IntegrationStep*AS362))</f>
        <v>0.40307736764267788</v>
      </c>
      <c r="AU364" s="212">
        <f t="shared" si="48"/>
        <v>40.794124671602574</v>
      </c>
      <c r="AW364" s="58"/>
      <c r="AX364" s="58"/>
      <c r="AY364" s="58"/>
      <c r="AZ364" s="58"/>
    </row>
    <row r="365" spans="1:52" s="185" customFormat="1" ht="15" customHeight="1" x14ac:dyDescent="0.25">
      <c r="A365" s="200"/>
      <c r="B365" s="211"/>
      <c r="C365" s="212">
        <f t="shared" si="49"/>
        <v>35.400000000000233</v>
      </c>
      <c r="D365" s="231">
        <f>15+[1]!STEPLOAD(5)</f>
        <v>20</v>
      </c>
      <c r="E365" s="212">
        <f t="shared" si="51"/>
        <v>40.794147181907576</v>
      </c>
      <c r="F365" s="212">
        <f t="shared" si="52"/>
        <v>0.5</v>
      </c>
      <c r="G365" s="212">
        <f>5</f>
        <v>5</v>
      </c>
      <c r="H365" s="212">
        <f t="shared" si="50"/>
        <v>48.369290404286382</v>
      </c>
      <c r="I365" s="212">
        <f t="shared" si="53"/>
        <v>0.9</v>
      </c>
      <c r="J365" s="212">
        <f>1</f>
        <v>1</v>
      </c>
      <c r="K365" s="212">
        <f t="shared" si="54"/>
        <v>4.1870000000000003</v>
      </c>
      <c r="L365" s="212"/>
      <c r="M365" s="212"/>
      <c r="N365" s="212"/>
      <c r="O365" s="212"/>
      <c r="P365" s="212"/>
      <c r="Q365" s="212"/>
      <c r="R365" s="212"/>
      <c r="S365" s="212"/>
      <c r="T365" s="212"/>
      <c r="U365" s="212"/>
      <c r="V365" s="212"/>
      <c r="W365" s="212"/>
      <c r="X365" s="212"/>
      <c r="Y365" s="212"/>
      <c r="Z365" s="212"/>
      <c r="AA365" s="212"/>
      <c r="AB365" s="212"/>
      <c r="AC365" s="196"/>
      <c r="AD365" s="27"/>
      <c r="AE365" s="213"/>
      <c r="AF365" s="212">
        <f t="shared" si="55"/>
        <v>-8.8732489023080063E-6</v>
      </c>
      <c r="AG365" s="212"/>
      <c r="AH365" s="212"/>
      <c r="AI365" s="212"/>
      <c r="AJ365" s="212"/>
      <c r="AK365" s="212"/>
      <c r="AL365" s="212"/>
      <c r="AM365" s="212"/>
      <c r="AN365" s="212"/>
      <c r="AO365" s="212"/>
      <c r="AP365" s="196"/>
      <c r="AQ365" s="196"/>
      <c r="AR365" s="211"/>
      <c r="AS365" s="212">
        <f t="shared" si="47"/>
        <v>-2.2510305001333108E-7</v>
      </c>
      <c r="AT365" s="212">
        <f>[1]!LIM(AT364+Mode*r0*((1+IntegrationStep/2/Ti+Td/IntegrationStep)*AS365-(1-IntegrationStep/2/Ti+2*Td/IntegrationStep)*AS364+Td/IntegrationStep*AS363))</f>
        <v>0.40307742003571984</v>
      </c>
      <c r="AU365" s="212">
        <f t="shared" si="48"/>
        <v>40.794124671602574</v>
      </c>
      <c r="AW365" s="58"/>
      <c r="AX365" s="58"/>
      <c r="AY365" s="58"/>
      <c r="AZ365" s="58"/>
    </row>
    <row r="366" spans="1:52" s="185" customFormat="1" ht="15" customHeight="1" x14ac:dyDescent="0.25">
      <c r="A366" s="200"/>
      <c r="B366" s="211"/>
      <c r="C366" s="212">
        <f t="shared" si="49"/>
        <v>35.500000000000234</v>
      </c>
      <c r="D366" s="231">
        <f>15+[1]!STEPLOAD(5)</f>
        <v>20</v>
      </c>
      <c r="E366" s="212">
        <f t="shared" si="51"/>
        <v>40.794146294582688</v>
      </c>
      <c r="F366" s="212">
        <f t="shared" si="52"/>
        <v>0.5</v>
      </c>
      <c r="G366" s="212">
        <f>5</f>
        <v>5</v>
      </c>
      <c r="H366" s="212">
        <f t="shared" si="50"/>
        <v>48.369296446145199</v>
      </c>
      <c r="I366" s="212">
        <f t="shared" si="53"/>
        <v>0.9</v>
      </c>
      <c r="J366" s="212">
        <f>1</f>
        <v>1</v>
      </c>
      <c r="K366" s="212">
        <f t="shared" si="54"/>
        <v>4.1870000000000003</v>
      </c>
      <c r="L366" s="212"/>
      <c r="M366" s="212"/>
      <c r="N366" s="212"/>
      <c r="O366" s="212"/>
      <c r="P366" s="212"/>
      <c r="Q366" s="212"/>
      <c r="R366" s="212"/>
      <c r="S366" s="212"/>
      <c r="T366" s="212"/>
      <c r="U366" s="212"/>
      <c r="V366" s="212"/>
      <c r="W366" s="212"/>
      <c r="X366" s="212"/>
      <c r="Y366" s="212"/>
      <c r="Z366" s="212"/>
      <c r="AA366" s="212"/>
      <c r="AB366" s="212"/>
      <c r="AC366" s="196"/>
      <c r="AD366" s="27"/>
      <c r="AE366" s="213"/>
      <c r="AF366" s="212">
        <f t="shared" si="55"/>
        <v>-8.5247756476114489E-6</v>
      </c>
      <c r="AG366" s="212"/>
      <c r="AH366" s="212"/>
      <c r="AI366" s="212"/>
      <c r="AJ366" s="212"/>
      <c r="AK366" s="212"/>
      <c r="AL366" s="212"/>
      <c r="AM366" s="212"/>
      <c r="AN366" s="212"/>
      <c r="AO366" s="212"/>
      <c r="AP366" s="196"/>
      <c r="AQ366" s="196"/>
      <c r="AR366" s="211"/>
      <c r="AS366" s="212">
        <f t="shared" si="47"/>
        <v>-2.1622980113988888E-7</v>
      </c>
      <c r="AT366" s="212">
        <f>[1]!LIM(AT365+Mode*r0*((1+IntegrationStep/2/Ti+Td/IntegrationStep)*AS366-(1-IntegrationStep/2/Ti+2*Td/IntegrationStep)*AS365+Td/IntegrationStep*AS364))</f>
        <v>0.40307747038454333</v>
      </c>
      <c r="AU366" s="212">
        <f t="shared" si="48"/>
        <v>40.794124671602574</v>
      </c>
      <c r="AW366" s="58"/>
      <c r="AX366" s="58"/>
      <c r="AY366" s="58"/>
      <c r="AZ366" s="58"/>
    </row>
    <row r="367" spans="1:52" s="185" customFormat="1" ht="15" customHeight="1" x14ac:dyDescent="0.25">
      <c r="A367" s="200"/>
      <c r="B367" s="211"/>
      <c r="C367" s="212">
        <f t="shared" si="49"/>
        <v>35.600000000000236</v>
      </c>
      <c r="D367" s="231">
        <f>15+[1]!STEPLOAD(5)</f>
        <v>20</v>
      </c>
      <c r="E367" s="212">
        <f t="shared" si="51"/>
        <v>40.794145442105126</v>
      </c>
      <c r="F367" s="212">
        <f t="shared" si="52"/>
        <v>0.5</v>
      </c>
      <c r="G367" s="212">
        <f>5</f>
        <v>5</v>
      </c>
      <c r="H367" s="212">
        <f t="shared" si="50"/>
        <v>48.369302252207724</v>
      </c>
      <c r="I367" s="212">
        <f t="shared" si="53"/>
        <v>0.9</v>
      </c>
      <c r="J367" s="212">
        <f>1</f>
        <v>1</v>
      </c>
      <c r="K367" s="212">
        <f t="shared" si="54"/>
        <v>4.1870000000000003</v>
      </c>
      <c r="L367" s="212"/>
      <c r="M367" s="212"/>
      <c r="N367" s="212"/>
      <c r="O367" s="212"/>
      <c r="P367" s="212"/>
      <c r="Q367" s="212"/>
      <c r="R367" s="212"/>
      <c r="S367" s="212"/>
      <c r="T367" s="212"/>
      <c r="U367" s="212"/>
      <c r="V367" s="212"/>
      <c r="W367" s="212"/>
      <c r="X367" s="212"/>
      <c r="Y367" s="212"/>
      <c r="Z367" s="212"/>
      <c r="AA367" s="212"/>
      <c r="AB367" s="212"/>
      <c r="AC367" s="196"/>
      <c r="AD367" s="27"/>
      <c r="AE367" s="213"/>
      <c r="AF367" s="212">
        <f t="shared" si="55"/>
        <v>-8.189924056711817E-6</v>
      </c>
      <c r="AG367" s="212"/>
      <c r="AH367" s="212"/>
      <c r="AI367" s="212"/>
      <c r="AJ367" s="212"/>
      <c r="AK367" s="212"/>
      <c r="AL367" s="212"/>
      <c r="AM367" s="212"/>
      <c r="AN367" s="212"/>
      <c r="AO367" s="212"/>
      <c r="AP367" s="196"/>
      <c r="AQ367" s="196"/>
      <c r="AR367" s="211"/>
      <c r="AS367" s="212">
        <f t="shared" si="47"/>
        <v>-2.0770502551670233E-7</v>
      </c>
      <c r="AT367" s="212">
        <f>[1]!LIM(AT366+Mode*r0*((1+IntegrationStep/2/Ti+Td/IntegrationStep)*AS367-(1-IntegrationStep/2/Ti+2*Td/IntegrationStep)*AS366+Td/IntegrationStep*AS365))</f>
        <v>0.4030775187683977</v>
      </c>
      <c r="AU367" s="212">
        <f t="shared" si="48"/>
        <v>40.794124671602574</v>
      </c>
      <c r="AW367" s="58"/>
      <c r="AX367" s="58"/>
      <c r="AY367" s="58"/>
      <c r="AZ367" s="58"/>
    </row>
    <row r="368" spans="1:52" s="185" customFormat="1" ht="15" customHeight="1" x14ac:dyDescent="0.25">
      <c r="A368" s="200"/>
      <c r="B368" s="211"/>
      <c r="C368" s="212">
        <f t="shared" si="49"/>
        <v>35.700000000000237</v>
      </c>
      <c r="D368" s="231">
        <f>15+[1]!STEPLOAD(5)</f>
        <v>20</v>
      </c>
      <c r="E368" s="212">
        <f t="shared" si="51"/>
        <v>40.794144623112722</v>
      </c>
      <c r="F368" s="212">
        <f t="shared" si="52"/>
        <v>0.5</v>
      </c>
      <c r="G368" s="212">
        <f>5</f>
        <v>5</v>
      </c>
      <c r="H368" s="212">
        <f t="shared" si="50"/>
        <v>48.369307831618151</v>
      </c>
      <c r="I368" s="212">
        <f t="shared" si="53"/>
        <v>0.9</v>
      </c>
      <c r="J368" s="212">
        <f>1</f>
        <v>1</v>
      </c>
      <c r="K368" s="212">
        <f t="shared" si="54"/>
        <v>4.1870000000000003</v>
      </c>
      <c r="L368" s="212"/>
      <c r="M368" s="212"/>
      <c r="N368" s="212"/>
      <c r="O368" s="212"/>
      <c r="P368" s="212"/>
      <c r="Q368" s="212"/>
      <c r="R368" s="212"/>
      <c r="S368" s="212"/>
      <c r="T368" s="212"/>
      <c r="U368" s="212"/>
      <c r="V368" s="212"/>
      <c r="W368" s="212"/>
      <c r="X368" s="212"/>
      <c r="Y368" s="212"/>
      <c r="Z368" s="212"/>
      <c r="AA368" s="212"/>
      <c r="AB368" s="212"/>
      <c r="AC368" s="196"/>
      <c r="AD368" s="27"/>
      <c r="AE368" s="213"/>
      <c r="AF368" s="212">
        <f t="shared" si="55"/>
        <v>-7.8681648028045004E-6</v>
      </c>
      <c r="AG368" s="212"/>
      <c r="AH368" s="212"/>
      <c r="AI368" s="212"/>
      <c r="AJ368" s="212"/>
      <c r="AK368" s="212"/>
      <c r="AL368" s="212"/>
      <c r="AM368" s="212"/>
      <c r="AN368" s="212"/>
      <c r="AO368" s="212"/>
      <c r="AP368" s="196"/>
      <c r="AQ368" s="196"/>
      <c r="AR368" s="211"/>
      <c r="AS368" s="212">
        <f t="shared" si="47"/>
        <v>-1.9951510147109275E-7</v>
      </c>
      <c r="AT368" s="212">
        <f>[1]!LIM(AT367+Mode*r0*((1+IntegrationStep/2/Ti+Td/IntegrationStep)*AS368-(1-IntegrationStep/2/Ti+2*Td/IntegrationStep)*AS367+Td/IntegrationStep*AS366))</f>
        <v>0.40307756526348459</v>
      </c>
      <c r="AU368" s="212">
        <f t="shared" si="48"/>
        <v>40.794124671602574</v>
      </c>
      <c r="AW368" s="58"/>
      <c r="AX368" s="58"/>
      <c r="AY368" s="58"/>
      <c r="AZ368" s="58"/>
    </row>
    <row r="369" spans="1:52" s="185" customFormat="1" ht="15" customHeight="1" x14ac:dyDescent="0.25">
      <c r="A369" s="200"/>
      <c r="B369" s="211"/>
      <c r="C369" s="212">
        <f t="shared" si="49"/>
        <v>35.800000000000239</v>
      </c>
      <c r="D369" s="231">
        <f>15+[1]!STEPLOAD(5)</f>
        <v>20</v>
      </c>
      <c r="E369" s="212">
        <f t="shared" si="51"/>
        <v>40.794143836296243</v>
      </c>
      <c r="F369" s="212">
        <f t="shared" si="52"/>
        <v>0.5</v>
      </c>
      <c r="G369" s="212">
        <f>5</f>
        <v>5</v>
      </c>
      <c r="H369" s="212">
        <f t="shared" si="50"/>
        <v>48.369313193168907</v>
      </c>
      <c r="I369" s="212">
        <f t="shared" si="53"/>
        <v>0.9</v>
      </c>
      <c r="J369" s="212">
        <f>1</f>
        <v>1</v>
      </c>
      <c r="K369" s="212">
        <f t="shared" si="54"/>
        <v>4.1870000000000003</v>
      </c>
      <c r="L369" s="212"/>
      <c r="M369" s="212"/>
      <c r="N369" s="212"/>
      <c r="O369" s="212"/>
      <c r="P369" s="212"/>
      <c r="Q369" s="212"/>
      <c r="R369" s="212"/>
      <c r="S369" s="212"/>
      <c r="T369" s="212"/>
      <c r="U369" s="212"/>
      <c r="V369" s="212"/>
      <c r="W369" s="212"/>
      <c r="X369" s="212"/>
      <c r="Y369" s="212"/>
      <c r="Z369" s="212"/>
      <c r="AA369" s="212"/>
      <c r="AB369" s="212"/>
      <c r="AC369" s="196"/>
      <c r="AD369" s="27"/>
      <c r="AE369" s="213"/>
      <c r="AF369" s="212">
        <f t="shared" si="55"/>
        <v>-7.5589889738658655E-6</v>
      </c>
      <c r="AG369" s="212"/>
      <c r="AH369" s="212"/>
      <c r="AI369" s="212"/>
      <c r="AJ369" s="212"/>
      <c r="AK369" s="212"/>
      <c r="AL369" s="212"/>
      <c r="AM369" s="212"/>
      <c r="AN369" s="212"/>
      <c r="AO369" s="212"/>
      <c r="AP369" s="196"/>
      <c r="AQ369" s="196"/>
      <c r="AR369" s="211"/>
      <c r="AS369" s="212">
        <f t="shared" si="47"/>
        <v>-1.9164693668471955E-7</v>
      </c>
      <c r="AT369" s="212">
        <f>[1]!LIM(AT368+Mode*r0*((1+IntegrationStep/2/Ti+Td/IntegrationStep)*AS369-(1-IntegrationStep/2/Ti+2*Td/IntegrationStep)*AS368+Td/IntegrationStep*AS367))</f>
        <v>0.40307760994307423</v>
      </c>
      <c r="AU369" s="212">
        <f t="shared" si="48"/>
        <v>40.794124671602574</v>
      </c>
      <c r="AW369" s="58"/>
      <c r="AX369" s="58"/>
      <c r="AY369" s="58"/>
      <c r="AZ369" s="58"/>
    </row>
    <row r="370" spans="1:52" s="185" customFormat="1" ht="15" customHeight="1" x14ac:dyDescent="0.25">
      <c r="A370" s="200"/>
      <c r="B370" s="211"/>
      <c r="C370" s="212">
        <f t="shared" si="49"/>
        <v>35.90000000000024</v>
      </c>
      <c r="D370" s="231">
        <f>15+[1]!STEPLOAD(5)</f>
        <v>20</v>
      </c>
      <c r="E370" s="212">
        <f t="shared" si="51"/>
        <v>40.794143080397347</v>
      </c>
      <c r="F370" s="212">
        <f t="shared" si="52"/>
        <v>0.5</v>
      </c>
      <c r="G370" s="212">
        <f>5</f>
        <v>5</v>
      </c>
      <c r="H370" s="212">
        <f t="shared" si="50"/>
        <v>48.369318345314127</v>
      </c>
      <c r="I370" s="212">
        <f t="shared" si="53"/>
        <v>0.9</v>
      </c>
      <c r="J370" s="212">
        <f>1</f>
        <v>1</v>
      </c>
      <c r="K370" s="212">
        <f t="shared" si="54"/>
        <v>4.1870000000000003</v>
      </c>
      <c r="L370" s="212"/>
      <c r="M370" s="212"/>
      <c r="N370" s="212"/>
      <c r="O370" s="212"/>
      <c r="P370" s="212"/>
      <c r="Q370" s="212"/>
      <c r="R370" s="212"/>
      <c r="S370" s="212"/>
      <c r="T370" s="212"/>
      <c r="U370" s="212"/>
      <c r="V370" s="212"/>
      <c r="W370" s="212"/>
      <c r="X370" s="212"/>
      <c r="Y370" s="212"/>
      <c r="Z370" s="212"/>
      <c r="AA370" s="212"/>
      <c r="AB370" s="212"/>
      <c r="AC370" s="196"/>
      <c r="AD370" s="27"/>
      <c r="AE370" s="213"/>
      <c r="AF370" s="212">
        <f t="shared" si="55"/>
        <v>-7.2619072910562465E-6</v>
      </c>
      <c r="AG370" s="212"/>
      <c r="AH370" s="212"/>
      <c r="AI370" s="212"/>
      <c r="AJ370" s="212"/>
      <c r="AK370" s="212"/>
      <c r="AL370" s="212"/>
      <c r="AM370" s="212"/>
      <c r="AN370" s="212"/>
      <c r="AO370" s="212"/>
      <c r="AP370" s="196"/>
      <c r="AQ370" s="196"/>
      <c r="AR370" s="211"/>
      <c r="AS370" s="212">
        <f t="shared" si="47"/>
        <v>-1.8408794772994951E-7</v>
      </c>
      <c r="AT370" s="212">
        <f>[1]!LIM(AT369+Mode*r0*((1+IntegrationStep/2/Ti+Td/IntegrationStep)*AS370-(1-IntegrationStep/2/Ti+2*Td/IntegrationStep)*AS369+Td/IntegrationStep*AS368))</f>
        <v>0.40307765287761771</v>
      </c>
      <c r="AU370" s="212">
        <f t="shared" si="48"/>
        <v>40.794124671602574</v>
      </c>
      <c r="AW370" s="58"/>
      <c r="AX370" s="58"/>
      <c r="AY370" s="58"/>
      <c r="AZ370" s="58"/>
    </row>
    <row r="371" spans="1:52" s="185" customFormat="1" ht="15" customHeight="1" x14ac:dyDescent="0.25">
      <c r="A371" s="200"/>
      <c r="B371" s="211"/>
      <c r="C371" s="212">
        <f t="shared" si="49"/>
        <v>36.000000000000242</v>
      </c>
      <c r="D371" s="231">
        <f>15+[1]!STEPLOAD(5)</f>
        <v>20</v>
      </c>
      <c r="E371" s="212">
        <f t="shared" si="51"/>
        <v>40.79414235420662</v>
      </c>
      <c r="F371" s="212">
        <f t="shared" si="52"/>
        <v>0.5</v>
      </c>
      <c r="G371" s="212">
        <f>5</f>
        <v>5</v>
      </c>
      <c r="H371" s="212">
        <f t="shared" si="50"/>
        <v>48.369323296182479</v>
      </c>
      <c r="I371" s="212">
        <f t="shared" si="53"/>
        <v>0.9</v>
      </c>
      <c r="J371" s="212">
        <f>1</f>
        <v>1</v>
      </c>
      <c r="K371" s="212">
        <f t="shared" si="54"/>
        <v>4.1870000000000003</v>
      </c>
      <c r="L371" s="212"/>
      <c r="M371" s="212"/>
      <c r="N371" s="212"/>
      <c r="O371" s="212"/>
      <c r="P371" s="212"/>
      <c r="Q371" s="212"/>
      <c r="R371" s="212"/>
      <c r="S371" s="212"/>
      <c r="T371" s="212"/>
      <c r="U371" s="212"/>
      <c r="V371" s="212"/>
      <c r="W371" s="212"/>
      <c r="X371" s="212"/>
      <c r="Y371" s="212"/>
      <c r="Z371" s="212"/>
      <c r="AA371" s="212"/>
      <c r="AB371" s="212"/>
      <c r="AC371" s="196"/>
      <c r="AD371" s="27"/>
      <c r="AE371" s="213"/>
      <c r="AF371" s="212">
        <f t="shared" si="55"/>
        <v>-6.9764493590973586E-6</v>
      </c>
      <c r="AG371" s="212"/>
      <c r="AH371" s="212"/>
      <c r="AI371" s="212"/>
      <c r="AJ371" s="212"/>
      <c r="AK371" s="212"/>
      <c r="AL371" s="212"/>
      <c r="AM371" s="212"/>
      <c r="AN371" s="212"/>
      <c r="AO371" s="212"/>
      <c r="AP371" s="196"/>
      <c r="AQ371" s="196"/>
      <c r="AR371" s="211"/>
      <c r="AS371" s="212">
        <f t="shared" si="47"/>
        <v>-1.7682604045887728E-7</v>
      </c>
      <c r="AT371" s="212">
        <f>[1]!LIM(AT370+Mode*r0*((1+IntegrationStep/2/Ti+Td/IntegrationStep)*AS371-(1-IntegrationStep/2/Ti+2*Td/IntegrationStep)*AS370+Td/IntegrationStep*AS369))</f>
        <v>0.403077694134854</v>
      </c>
      <c r="AU371" s="212">
        <f t="shared" si="48"/>
        <v>40.794124671602574</v>
      </c>
      <c r="AW371" s="58"/>
      <c r="AX371" s="58"/>
      <c r="AY371" s="58"/>
      <c r="AZ371" s="58"/>
    </row>
    <row r="372" spans="1:52" s="185" customFormat="1" ht="15" customHeight="1" x14ac:dyDescent="0.25">
      <c r="A372" s="200"/>
      <c r="B372" s="211"/>
      <c r="C372" s="212">
        <f t="shared" si="49"/>
        <v>36.100000000000243</v>
      </c>
      <c r="D372" s="231">
        <f>15+[1]!STEPLOAD(5)</f>
        <v>20</v>
      </c>
      <c r="E372" s="212">
        <f t="shared" si="51"/>
        <v>40.794141656561685</v>
      </c>
      <c r="F372" s="212">
        <f t="shared" si="52"/>
        <v>0.5</v>
      </c>
      <c r="G372" s="212">
        <f>5</f>
        <v>5</v>
      </c>
      <c r="H372" s="212">
        <f t="shared" si="50"/>
        <v>48.369328053589612</v>
      </c>
      <c r="I372" s="212">
        <f t="shared" si="53"/>
        <v>0.9</v>
      </c>
      <c r="J372" s="212">
        <f>1</f>
        <v>1</v>
      </c>
      <c r="K372" s="212">
        <f t="shared" si="54"/>
        <v>4.1870000000000003</v>
      </c>
      <c r="L372" s="212"/>
      <c r="M372" s="212"/>
      <c r="N372" s="212"/>
      <c r="O372" s="212"/>
      <c r="P372" s="212"/>
      <c r="Q372" s="212"/>
      <c r="R372" s="212"/>
      <c r="S372" s="212"/>
      <c r="T372" s="212"/>
      <c r="U372" s="212"/>
      <c r="V372" s="212"/>
      <c r="W372" s="212"/>
      <c r="X372" s="212"/>
      <c r="Y372" s="212"/>
      <c r="Z372" s="212"/>
      <c r="AA372" s="212"/>
      <c r="AB372" s="212"/>
      <c r="AC372" s="196"/>
      <c r="AD372" s="27"/>
      <c r="AE372" s="213"/>
      <c r="AF372" s="212">
        <f t="shared" si="55"/>
        <v>-6.7021629441832431E-6</v>
      </c>
      <c r="AG372" s="212"/>
      <c r="AH372" s="212"/>
      <c r="AI372" s="212"/>
      <c r="AJ372" s="212"/>
      <c r="AK372" s="212"/>
      <c r="AL372" s="212"/>
      <c r="AM372" s="212"/>
      <c r="AN372" s="212"/>
      <c r="AO372" s="212"/>
      <c r="AP372" s="196"/>
      <c r="AQ372" s="196"/>
      <c r="AR372" s="211"/>
      <c r="AS372" s="212">
        <f t="shared" si="47"/>
        <v>-1.6984959110288856E-7</v>
      </c>
      <c r="AT372" s="212">
        <f>[1]!LIM(AT371+Mode*r0*((1+IntegrationStep/2/Ti+Td/IntegrationStep)*AS372-(1-IntegrationStep/2/Ti+2*Td/IntegrationStep)*AS371+Td/IntegrationStep*AS370))</f>
        <v>0.40307773377991341</v>
      </c>
      <c r="AU372" s="212">
        <f t="shared" si="48"/>
        <v>40.794124671602574</v>
      </c>
      <c r="AW372" s="58"/>
      <c r="AX372" s="58"/>
      <c r="AY372" s="58"/>
      <c r="AZ372" s="58"/>
    </row>
    <row r="373" spans="1:52" s="185" customFormat="1" ht="15" customHeight="1" x14ac:dyDescent="0.25">
      <c r="A373" s="200"/>
      <c r="B373" s="211"/>
      <c r="C373" s="212">
        <f t="shared" si="49"/>
        <v>36.200000000000244</v>
      </c>
      <c r="D373" s="231">
        <f>15+[1]!STEPLOAD(5)</f>
        <v>20</v>
      </c>
      <c r="E373" s="212">
        <f t="shared" si="51"/>
        <v>40.79414098634539</v>
      </c>
      <c r="F373" s="212">
        <f t="shared" si="52"/>
        <v>0.5</v>
      </c>
      <c r="G373" s="212">
        <f>5</f>
        <v>5</v>
      </c>
      <c r="H373" s="212">
        <f t="shared" si="50"/>
        <v>48.369332625049985</v>
      </c>
      <c r="I373" s="212">
        <f t="shared" si="53"/>
        <v>0.9</v>
      </c>
      <c r="J373" s="212">
        <f>1</f>
        <v>1</v>
      </c>
      <c r="K373" s="212">
        <f t="shared" si="54"/>
        <v>4.1870000000000003</v>
      </c>
      <c r="L373" s="212"/>
      <c r="M373" s="212"/>
      <c r="N373" s="212"/>
      <c r="O373" s="212"/>
      <c r="P373" s="212"/>
      <c r="Q373" s="212"/>
      <c r="R373" s="212"/>
      <c r="S373" s="212"/>
      <c r="T373" s="212"/>
      <c r="U373" s="212"/>
      <c r="V373" s="212"/>
      <c r="W373" s="212"/>
      <c r="X373" s="212"/>
      <c r="Y373" s="212"/>
      <c r="Z373" s="212"/>
      <c r="AA373" s="212"/>
      <c r="AB373" s="212"/>
      <c r="AC373" s="196"/>
      <c r="AD373" s="27"/>
      <c r="AE373" s="213"/>
      <c r="AF373" s="212">
        <f t="shared" si="55"/>
        <v>-6.4386132838656351E-6</v>
      </c>
      <c r="AG373" s="212"/>
      <c r="AH373" s="212"/>
      <c r="AI373" s="212"/>
      <c r="AJ373" s="212"/>
      <c r="AK373" s="212"/>
      <c r="AL373" s="212"/>
      <c r="AM373" s="212"/>
      <c r="AN373" s="212"/>
      <c r="AO373" s="212"/>
      <c r="AP373" s="196"/>
      <c r="AQ373" s="196"/>
      <c r="AR373" s="211"/>
      <c r="AS373" s="212">
        <f t="shared" si="47"/>
        <v>-1.6314742815382033E-7</v>
      </c>
      <c r="AT373" s="212">
        <f>[1]!LIM(AT372+Mode*r0*((1+IntegrationStep/2/Ti+Td/IntegrationStep)*AS373-(1-IntegrationStep/2/Ti+2*Td/IntegrationStep)*AS372+Td/IntegrationStep*AS371))</f>
        <v>0.40307777187541655</v>
      </c>
      <c r="AU373" s="212">
        <f t="shared" si="48"/>
        <v>40.794124671602574</v>
      </c>
      <c r="AW373" s="58"/>
      <c r="AX373" s="58"/>
      <c r="AY373" s="58"/>
      <c r="AZ373" s="58"/>
    </row>
    <row r="374" spans="1:52" s="185" customFormat="1" ht="15" customHeight="1" x14ac:dyDescent="0.25">
      <c r="A374" s="200"/>
      <c r="B374" s="211"/>
      <c r="C374" s="212">
        <f t="shared" si="49"/>
        <v>36.300000000000246</v>
      </c>
      <c r="D374" s="231">
        <f>15+[1]!STEPLOAD(5)</f>
        <v>20</v>
      </c>
      <c r="E374" s="212">
        <f t="shared" si="51"/>
        <v>40.794140342484063</v>
      </c>
      <c r="F374" s="212">
        <f t="shared" si="52"/>
        <v>0.5</v>
      </c>
      <c r="G374" s="212">
        <f>5</f>
        <v>5</v>
      </c>
      <c r="H374" s="212">
        <f t="shared" si="50"/>
        <v>48.369337017788396</v>
      </c>
      <c r="I374" s="212">
        <f t="shared" si="53"/>
        <v>0.9</v>
      </c>
      <c r="J374" s="212">
        <f>1</f>
        <v>1</v>
      </c>
      <c r="K374" s="212">
        <f t="shared" si="54"/>
        <v>4.1870000000000003</v>
      </c>
      <c r="L374" s="212"/>
      <c r="M374" s="212"/>
      <c r="N374" s="212"/>
      <c r="O374" s="212"/>
      <c r="P374" s="212"/>
      <c r="Q374" s="212"/>
      <c r="R374" s="212"/>
      <c r="S374" s="212"/>
      <c r="T374" s="212"/>
      <c r="U374" s="212"/>
      <c r="V374" s="212"/>
      <c r="W374" s="212"/>
      <c r="X374" s="212"/>
      <c r="Y374" s="212"/>
      <c r="Z374" s="212"/>
      <c r="AA374" s="212"/>
      <c r="AB374" s="212"/>
      <c r="AC374" s="196"/>
      <c r="AD374" s="27"/>
      <c r="AE374" s="213"/>
      <c r="AF374" s="212">
        <f t="shared" si="55"/>
        <v>-6.1853824133706325E-6</v>
      </c>
      <c r="AG374" s="212"/>
      <c r="AH374" s="212"/>
      <c r="AI374" s="212"/>
      <c r="AJ374" s="212"/>
      <c r="AK374" s="212"/>
      <c r="AL374" s="212"/>
      <c r="AM374" s="212"/>
      <c r="AN374" s="212"/>
      <c r="AO374" s="212"/>
      <c r="AP374" s="196"/>
      <c r="AQ374" s="196"/>
      <c r="AR374" s="211"/>
      <c r="AS374" s="212">
        <f t="shared" si="47"/>
        <v>-1.5670881488460965E-7</v>
      </c>
      <c r="AT374" s="212">
        <f>[1]!LIM(AT373+Mode*r0*((1+IntegrationStep/2/Ti+Td/IntegrationStep)*AS374-(1-IntegrationStep/2/Ti+2*Td/IntegrationStep)*AS373+Td/IntegrationStep*AS372))</f>
        <v>0.40307780848156999</v>
      </c>
      <c r="AU374" s="212">
        <f t="shared" si="48"/>
        <v>40.794124671602574</v>
      </c>
      <c r="AW374" s="58"/>
      <c r="AX374" s="58"/>
      <c r="AY374" s="58"/>
      <c r="AZ374" s="58"/>
    </row>
    <row r="375" spans="1:52" s="185" customFormat="1" ht="15" customHeight="1" x14ac:dyDescent="0.25">
      <c r="A375" s="200"/>
      <c r="B375" s="211"/>
      <c r="C375" s="212">
        <f t="shared" si="49"/>
        <v>36.400000000000247</v>
      </c>
      <c r="D375" s="231">
        <f>15+[1]!STEPLOAD(5)</f>
        <v>20</v>
      </c>
      <c r="E375" s="212">
        <f t="shared" si="51"/>
        <v>40.794139723945818</v>
      </c>
      <c r="F375" s="212">
        <f t="shared" si="52"/>
        <v>0.5</v>
      </c>
      <c r="G375" s="212">
        <f>5</f>
        <v>5</v>
      </c>
      <c r="H375" s="212">
        <f t="shared" si="50"/>
        <v>48.36934123875124</v>
      </c>
      <c r="I375" s="212">
        <f t="shared" si="53"/>
        <v>0.9</v>
      </c>
      <c r="J375" s="212">
        <f>1</f>
        <v>1</v>
      </c>
      <c r="K375" s="212">
        <f t="shared" si="54"/>
        <v>4.1870000000000003</v>
      </c>
      <c r="L375" s="212"/>
      <c r="M375" s="212"/>
      <c r="N375" s="212"/>
      <c r="O375" s="212"/>
      <c r="P375" s="212"/>
      <c r="Q375" s="212"/>
      <c r="R375" s="212"/>
      <c r="S375" s="212"/>
      <c r="T375" s="212"/>
      <c r="U375" s="212"/>
      <c r="V375" s="212"/>
      <c r="W375" s="212"/>
      <c r="X375" s="212"/>
      <c r="Y375" s="212"/>
      <c r="Z375" s="212"/>
      <c r="AA375" s="212"/>
      <c r="AB375" s="212"/>
      <c r="AC375" s="196"/>
      <c r="AD375" s="27"/>
      <c r="AE375" s="213"/>
      <c r="AF375" s="212">
        <f t="shared" si="55"/>
        <v>-5.9420685198929846E-6</v>
      </c>
      <c r="AG375" s="212"/>
      <c r="AH375" s="212"/>
      <c r="AI375" s="212"/>
      <c r="AJ375" s="212"/>
      <c r="AK375" s="212"/>
      <c r="AL375" s="212"/>
      <c r="AM375" s="212"/>
      <c r="AN375" s="212"/>
      <c r="AO375" s="212"/>
      <c r="AP375" s="196"/>
      <c r="AQ375" s="196"/>
      <c r="AR375" s="211"/>
      <c r="AS375" s="212">
        <f t="shared" si="47"/>
        <v>-1.5052343243837641E-7</v>
      </c>
      <c r="AT375" s="212">
        <f>[1]!LIM(AT374+Mode*r0*((1+IntegrationStep/2/Ti+Td/IntegrationStep)*AS375-(1-IntegrationStep/2/Ti+2*Td/IntegrationStep)*AS374+Td/IntegrationStep*AS373))</f>
        <v>0.40307784365626032</v>
      </c>
      <c r="AU375" s="212">
        <f t="shared" si="48"/>
        <v>40.794124671602574</v>
      </c>
      <c r="AW375" s="58"/>
      <c r="AX375" s="58"/>
      <c r="AY375" s="58"/>
      <c r="AZ375" s="58"/>
    </row>
    <row r="376" spans="1:52" s="185" customFormat="1" ht="15" customHeight="1" x14ac:dyDescent="0.25">
      <c r="A376" s="200"/>
      <c r="B376" s="211"/>
      <c r="C376" s="212">
        <f t="shared" si="49"/>
        <v>36.500000000000249</v>
      </c>
      <c r="D376" s="231">
        <f>15+[1]!STEPLOAD(5)</f>
        <v>20</v>
      </c>
      <c r="E376" s="212">
        <f t="shared" si="51"/>
        <v>40.794139129738966</v>
      </c>
      <c r="F376" s="212">
        <f t="shared" si="52"/>
        <v>0.5</v>
      </c>
      <c r="G376" s="212">
        <f>5</f>
        <v>5</v>
      </c>
      <c r="H376" s="212">
        <f t="shared" si="50"/>
        <v>48.369345294616664</v>
      </c>
      <c r="I376" s="212">
        <f t="shared" si="53"/>
        <v>0.9</v>
      </c>
      <c r="J376" s="212">
        <f>1</f>
        <v>1</v>
      </c>
      <c r="K376" s="212">
        <f t="shared" si="54"/>
        <v>4.1870000000000003</v>
      </c>
      <c r="L376" s="212"/>
      <c r="M376" s="212"/>
      <c r="N376" s="212"/>
      <c r="O376" s="212"/>
      <c r="P376" s="212"/>
      <c r="Q376" s="212"/>
      <c r="R376" s="212"/>
      <c r="S376" s="212"/>
      <c r="T376" s="212"/>
      <c r="U376" s="212"/>
      <c r="V376" s="212"/>
      <c r="W376" s="212"/>
      <c r="X376" s="212"/>
      <c r="Y376" s="212"/>
      <c r="Z376" s="212"/>
      <c r="AA376" s="212"/>
      <c r="AB376" s="212"/>
      <c r="AC376" s="196"/>
      <c r="AD376" s="27"/>
      <c r="AE376" s="213"/>
      <c r="AF376" s="212">
        <f t="shared" si="55"/>
        <v>-5.7082853368584097E-6</v>
      </c>
      <c r="AG376" s="212"/>
      <c r="AH376" s="212"/>
      <c r="AI376" s="212"/>
      <c r="AJ376" s="212"/>
      <c r="AK376" s="212"/>
      <c r="AL376" s="212"/>
      <c r="AM376" s="212"/>
      <c r="AN376" s="212"/>
      <c r="AO376" s="212"/>
      <c r="AP376" s="196"/>
      <c r="AQ376" s="196"/>
      <c r="AR376" s="211"/>
      <c r="AS376" s="212">
        <f t="shared" si="47"/>
        <v>-1.4458136391226617E-7</v>
      </c>
      <c r="AT376" s="212">
        <f>[1]!LIM(AT375+Mode*r0*((1+IntegrationStep/2/Ti+Td/IntegrationStep)*AS376-(1-IntegrationStep/2/Ti+2*Td/IntegrationStep)*AS375+Td/IntegrationStep*AS374))</f>
        <v>0.4030778774551389</v>
      </c>
      <c r="AU376" s="212">
        <f t="shared" si="48"/>
        <v>40.794124671602574</v>
      </c>
      <c r="AW376" s="58"/>
      <c r="AX376" s="58"/>
      <c r="AY376" s="58"/>
      <c r="AZ376" s="58"/>
    </row>
    <row r="377" spans="1:52" s="185" customFormat="1" ht="15" customHeight="1" x14ac:dyDescent="0.25">
      <c r="A377" s="200"/>
      <c r="B377" s="211"/>
      <c r="C377" s="212">
        <f t="shared" si="49"/>
        <v>36.60000000000025</v>
      </c>
      <c r="D377" s="231">
        <f>15+[1]!STEPLOAD(5)</f>
        <v>20</v>
      </c>
      <c r="E377" s="212">
        <f t="shared" si="51"/>
        <v>40.794138558910433</v>
      </c>
      <c r="F377" s="212">
        <f t="shared" si="52"/>
        <v>0.5</v>
      </c>
      <c r="G377" s="212">
        <f>5</f>
        <v>5</v>
      </c>
      <c r="H377" s="212">
        <f t="shared" si="50"/>
        <v>48.369349191805306</v>
      </c>
      <c r="I377" s="212">
        <f t="shared" si="53"/>
        <v>0.9</v>
      </c>
      <c r="J377" s="212">
        <f>1</f>
        <v>1</v>
      </c>
      <c r="K377" s="212">
        <f t="shared" si="54"/>
        <v>4.1870000000000003</v>
      </c>
      <c r="L377" s="212"/>
      <c r="M377" s="212"/>
      <c r="N377" s="212"/>
      <c r="O377" s="212"/>
      <c r="P377" s="212"/>
      <c r="Q377" s="212"/>
      <c r="R377" s="212"/>
      <c r="S377" s="212"/>
      <c r="T377" s="212"/>
      <c r="U377" s="212"/>
      <c r="V377" s="212"/>
      <c r="W377" s="212"/>
      <c r="X377" s="212"/>
      <c r="Y377" s="212"/>
      <c r="Z377" s="212"/>
      <c r="AA377" s="212"/>
      <c r="AB377" s="212"/>
      <c r="AC377" s="196"/>
      <c r="AD377" s="27"/>
      <c r="AE377" s="213"/>
      <c r="AF377" s="212">
        <f t="shared" si="55"/>
        <v>-5.4836615346331996E-6</v>
      </c>
      <c r="AG377" s="212"/>
      <c r="AH377" s="212"/>
      <c r="AI377" s="212"/>
      <c r="AJ377" s="212"/>
      <c r="AK377" s="212"/>
      <c r="AL377" s="212"/>
      <c r="AM377" s="212"/>
      <c r="AN377" s="212"/>
      <c r="AO377" s="212"/>
      <c r="AP377" s="196"/>
      <c r="AQ377" s="196"/>
      <c r="AR377" s="211"/>
      <c r="AS377" s="212">
        <f t="shared" si="47"/>
        <v>-1.3887307858340137E-7</v>
      </c>
      <c r="AT377" s="212">
        <f>[1]!LIM(AT376+Mode*r0*((1+IntegrationStep/2/Ti+Td/IntegrationStep)*AS377-(1-IntegrationStep/2/Ti+2*Td/IntegrationStep)*AS376+Td/IntegrationStep*AS375))</f>
        <v>0.40307790993171089</v>
      </c>
      <c r="AU377" s="212">
        <f t="shared" si="48"/>
        <v>40.794124671602574</v>
      </c>
      <c r="AW377" s="58"/>
      <c r="AX377" s="58"/>
      <c r="AY377" s="58"/>
      <c r="AZ377" s="58"/>
    </row>
    <row r="378" spans="1:52" s="185" customFormat="1" ht="15" customHeight="1" x14ac:dyDescent="0.25">
      <c r="A378" s="200"/>
      <c r="B378" s="211"/>
      <c r="C378" s="212">
        <f t="shared" si="49"/>
        <v>36.700000000000252</v>
      </c>
      <c r="D378" s="231">
        <f>15+[1]!STEPLOAD(5)</f>
        <v>20</v>
      </c>
      <c r="E378" s="212">
        <f t="shared" si="51"/>
        <v>40.79413801054428</v>
      </c>
      <c r="F378" s="212">
        <f t="shared" si="52"/>
        <v>0.5</v>
      </c>
      <c r="G378" s="212">
        <f>5</f>
        <v>5</v>
      </c>
      <c r="H378" s="212">
        <f t="shared" si="50"/>
        <v>48.369352936489904</v>
      </c>
      <c r="I378" s="212">
        <f t="shared" si="53"/>
        <v>0.9</v>
      </c>
      <c r="J378" s="212">
        <f>1</f>
        <v>1</v>
      </c>
      <c r="K378" s="212">
        <f t="shared" si="54"/>
        <v>4.1870000000000003</v>
      </c>
      <c r="L378" s="212"/>
      <c r="M378" s="212"/>
      <c r="N378" s="212"/>
      <c r="O378" s="212"/>
      <c r="P378" s="212"/>
      <c r="Q378" s="212"/>
      <c r="R378" s="212"/>
      <c r="S378" s="212"/>
      <c r="T378" s="212"/>
      <c r="U378" s="212"/>
      <c r="V378" s="212"/>
      <c r="W378" s="212"/>
      <c r="X378" s="212"/>
      <c r="Y378" s="212"/>
      <c r="Z378" s="212"/>
      <c r="AA378" s="212"/>
      <c r="AB378" s="212"/>
      <c r="AC378" s="196"/>
      <c r="AD378" s="27"/>
      <c r="AE378" s="213"/>
      <c r="AF378" s="212">
        <f t="shared" si="55"/>
        <v>-5.267840150313674E-6</v>
      </c>
      <c r="AG378" s="212"/>
      <c r="AH378" s="212"/>
      <c r="AI378" s="212"/>
      <c r="AJ378" s="212"/>
      <c r="AK378" s="212"/>
      <c r="AL378" s="212"/>
      <c r="AM378" s="212"/>
      <c r="AN378" s="212"/>
      <c r="AO378" s="212"/>
      <c r="AP378" s="196"/>
      <c r="AQ378" s="196"/>
      <c r="AR378" s="211"/>
      <c r="AS378" s="212">
        <f t="shared" si="47"/>
        <v>-1.3338941705853814E-7</v>
      </c>
      <c r="AT378" s="212">
        <f>[1]!LIM(AT377+Mode*r0*((1+IntegrationStep/2/Ti+Td/IntegrationStep)*AS378-(1-IntegrationStep/2/Ti+2*Td/IntegrationStep)*AS377+Td/IntegrationStep*AS376))</f>
        <v>0.40307794113741585</v>
      </c>
      <c r="AU378" s="212">
        <f t="shared" si="48"/>
        <v>40.794124671602574</v>
      </c>
      <c r="AW378" s="58"/>
      <c r="AX378" s="58"/>
      <c r="AY378" s="58"/>
      <c r="AZ378" s="58"/>
    </row>
    <row r="379" spans="1:52" s="185" customFormat="1" ht="15" customHeight="1" x14ac:dyDescent="0.25">
      <c r="A379" s="200"/>
      <c r="B379" s="211"/>
      <c r="C379" s="212">
        <f t="shared" si="49"/>
        <v>36.800000000000253</v>
      </c>
      <c r="D379" s="231">
        <f>15+[1]!STEPLOAD(5)</f>
        <v>20</v>
      </c>
      <c r="E379" s="212">
        <f t="shared" si="51"/>
        <v>40.794137483760267</v>
      </c>
      <c r="F379" s="212">
        <f t="shared" si="52"/>
        <v>0.5</v>
      </c>
      <c r="G379" s="212">
        <f>5</f>
        <v>5</v>
      </c>
      <c r="H379" s="212">
        <f t="shared" si="50"/>
        <v>48.36935653460479</v>
      </c>
      <c r="I379" s="212">
        <f t="shared" si="53"/>
        <v>0.9</v>
      </c>
      <c r="J379" s="212">
        <f>1</f>
        <v>1</v>
      </c>
      <c r="K379" s="212">
        <f t="shared" si="54"/>
        <v>4.1870000000000003</v>
      </c>
      <c r="L379" s="212"/>
      <c r="M379" s="212"/>
      <c r="N379" s="212"/>
      <c r="O379" s="212"/>
      <c r="P379" s="212"/>
      <c r="Q379" s="212"/>
      <c r="R379" s="212"/>
      <c r="S379" s="212"/>
      <c r="T379" s="212"/>
      <c r="U379" s="212"/>
      <c r="V379" s="212"/>
      <c r="W379" s="212"/>
      <c r="X379" s="212"/>
      <c r="Y379" s="212"/>
      <c r="Z379" s="212"/>
      <c r="AA379" s="212"/>
      <c r="AB379" s="212"/>
      <c r="AC379" s="196"/>
      <c r="AD379" s="27"/>
      <c r="AE379" s="213"/>
      <c r="AF379" s="212">
        <f t="shared" si="55"/>
        <v>-5.0604780419405415E-6</v>
      </c>
      <c r="AG379" s="212"/>
      <c r="AH379" s="212"/>
      <c r="AI379" s="212"/>
      <c r="AJ379" s="212"/>
      <c r="AK379" s="212"/>
      <c r="AL379" s="212"/>
      <c r="AM379" s="212"/>
      <c r="AN379" s="212"/>
      <c r="AO379" s="212"/>
      <c r="AP379" s="196"/>
      <c r="AQ379" s="196"/>
      <c r="AR379" s="211"/>
      <c r="AS379" s="212">
        <f t="shared" si="47"/>
        <v>-1.2812157692110305E-7</v>
      </c>
      <c r="AT379" s="212">
        <f>[1]!LIM(AT378+Mode*r0*((1+IntegrationStep/2/Ti+Td/IntegrationStep)*AS379-(1-IntegrationStep/2/Ti+2*Td/IntegrationStep)*AS378+Td/IntegrationStep*AS377))</f>
        <v>0.40307797112170657</v>
      </c>
      <c r="AU379" s="212">
        <f t="shared" si="48"/>
        <v>40.794124671602574</v>
      </c>
      <c r="AW379" s="58"/>
      <c r="AX379" s="58"/>
      <c r="AY379" s="58"/>
      <c r="AZ379" s="58"/>
    </row>
    <row r="380" spans="1:52" s="185" customFormat="1" ht="15" customHeight="1" x14ac:dyDescent="0.25">
      <c r="A380" s="200"/>
      <c r="B380" s="211"/>
      <c r="C380" s="212">
        <f t="shared" si="49"/>
        <v>36.900000000000254</v>
      </c>
      <c r="D380" s="231">
        <f>15+[1]!STEPLOAD(5)</f>
        <v>20</v>
      </c>
      <c r="E380" s="212">
        <f t="shared" si="51"/>
        <v>40.794136977712462</v>
      </c>
      <c r="F380" s="212">
        <f t="shared" si="52"/>
        <v>0.5</v>
      </c>
      <c r="G380" s="212">
        <f>5</f>
        <v>5</v>
      </c>
      <c r="H380" s="212">
        <f t="shared" si="50"/>
        <v>48.36935999185507</v>
      </c>
      <c r="I380" s="212">
        <f t="shared" si="53"/>
        <v>0.9</v>
      </c>
      <c r="J380" s="212">
        <f>1</f>
        <v>1</v>
      </c>
      <c r="K380" s="212">
        <f t="shared" si="54"/>
        <v>4.1870000000000003</v>
      </c>
      <c r="L380" s="212"/>
      <c r="M380" s="212"/>
      <c r="N380" s="212"/>
      <c r="O380" s="212"/>
      <c r="P380" s="212"/>
      <c r="Q380" s="212"/>
      <c r="R380" s="212"/>
      <c r="S380" s="212"/>
      <c r="T380" s="212"/>
      <c r="U380" s="212"/>
      <c r="V380" s="212"/>
      <c r="W380" s="212"/>
      <c r="X380" s="212"/>
      <c r="Y380" s="212"/>
      <c r="Z380" s="212"/>
      <c r="AA380" s="212"/>
      <c r="AB380" s="212"/>
      <c r="AC380" s="196"/>
      <c r="AD380" s="27"/>
      <c r="AE380" s="213"/>
      <c r="AF380" s="212">
        <f t="shared" si="55"/>
        <v>-4.8612453538154909E-6</v>
      </c>
      <c r="AG380" s="212"/>
      <c r="AH380" s="212"/>
      <c r="AI380" s="212"/>
      <c r="AJ380" s="212"/>
      <c r="AK380" s="212"/>
      <c r="AL380" s="212"/>
      <c r="AM380" s="212"/>
      <c r="AN380" s="212"/>
      <c r="AO380" s="212"/>
      <c r="AP380" s="196"/>
      <c r="AQ380" s="196"/>
      <c r="AR380" s="211"/>
      <c r="AS380" s="212">
        <f t="shared" si="47"/>
        <v>-1.2306109887560978E-7</v>
      </c>
      <c r="AT380" s="212">
        <f>[1]!LIM(AT379+Mode*r0*((1+IntegrationStep/2/Ti+Td/IntegrationStep)*AS380-(1-IntegrationStep/2/Ti+2*Td/IntegrationStep)*AS379+Td/IntegrationStep*AS378))</f>
        <v>0.40307799993212556</v>
      </c>
      <c r="AU380" s="212">
        <f t="shared" si="48"/>
        <v>40.794124671602574</v>
      </c>
      <c r="AW380" s="58"/>
      <c r="AX380" s="58"/>
      <c r="AY380" s="58"/>
      <c r="AZ380" s="58"/>
    </row>
    <row r="381" spans="1:52" s="185" customFormat="1" ht="15" customHeight="1" x14ac:dyDescent="0.25">
      <c r="A381" s="200"/>
      <c r="B381" s="211"/>
      <c r="C381" s="212">
        <f t="shared" si="49"/>
        <v>37.000000000000256</v>
      </c>
      <c r="D381" s="231">
        <f>15+[1]!STEPLOAD(5)</f>
        <v>20</v>
      </c>
      <c r="E381" s="212">
        <f t="shared" si="51"/>
        <v>40.794136491587928</v>
      </c>
      <c r="F381" s="212">
        <f t="shared" si="52"/>
        <v>0.5</v>
      </c>
      <c r="G381" s="212">
        <f>5</f>
        <v>5</v>
      </c>
      <c r="H381" s="212">
        <f t="shared" si="50"/>
        <v>48.369363313725259</v>
      </c>
      <c r="I381" s="212">
        <f t="shared" si="53"/>
        <v>0.9</v>
      </c>
      <c r="J381" s="212">
        <f>1</f>
        <v>1</v>
      </c>
      <c r="K381" s="212">
        <f t="shared" si="54"/>
        <v>4.1870000000000003</v>
      </c>
      <c r="L381" s="212"/>
      <c r="M381" s="212"/>
      <c r="N381" s="212"/>
      <c r="O381" s="212"/>
      <c r="P381" s="212"/>
      <c r="Q381" s="212"/>
      <c r="R381" s="212"/>
      <c r="S381" s="212"/>
      <c r="T381" s="212"/>
      <c r="U381" s="212"/>
      <c r="V381" s="212"/>
      <c r="W381" s="212"/>
      <c r="X381" s="212"/>
      <c r="Y381" s="212"/>
      <c r="Z381" s="212"/>
      <c r="AA381" s="212"/>
      <c r="AB381" s="212"/>
      <c r="AC381" s="196"/>
      <c r="AD381" s="27"/>
      <c r="AE381" s="213"/>
      <c r="AF381" s="212">
        <f t="shared" si="55"/>
        <v>-4.6698250106835815E-6</v>
      </c>
      <c r="AG381" s="212"/>
      <c r="AH381" s="212"/>
      <c r="AI381" s="212"/>
      <c r="AJ381" s="212"/>
      <c r="AK381" s="212"/>
      <c r="AL381" s="212"/>
      <c r="AM381" s="212"/>
      <c r="AN381" s="212"/>
      <c r="AO381" s="212"/>
      <c r="AP381" s="196"/>
      <c r="AQ381" s="196"/>
      <c r="AR381" s="211"/>
      <c r="AS381" s="212">
        <f t="shared" si="47"/>
        <v>-1.1819985353156426E-7</v>
      </c>
      <c r="AT381" s="212">
        <f>[1]!LIM(AT380+Mode*r0*((1+IntegrationStep/2/Ti+Td/IntegrationStep)*AS381-(1-IntegrationStep/2/Ti+2*Td/IntegrationStep)*AS380+Td/IntegrationStep*AS379))</f>
        <v>0.40307802761437717</v>
      </c>
      <c r="AU381" s="212">
        <f t="shared" si="48"/>
        <v>40.794124671602574</v>
      </c>
      <c r="AW381" s="58"/>
      <c r="AX381" s="58"/>
      <c r="AY381" s="58"/>
      <c r="AZ381" s="58"/>
    </row>
    <row r="382" spans="1:52" s="185" customFormat="1" ht="15" customHeight="1" x14ac:dyDescent="0.25">
      <c r="A382" s="200"/>
      <c r="B382" s="211"/>
      <c r="C382" s="212">
        <f t="shared" si="49"/>
        <v>37.100000000000257</v>
      </c>
      <c r="D382" s="231">
        <f>15+[1]!STEPLOAD(5)</f>
        <v>20</v>
      </c>
      <c r="E382" s="212">
        <f t="shared" si="51"/>
        <v>40.794136024605429</v>
      </c>
      <c r="F382" s="212">
        <f t="shared" si="52"/>
        <v>0.5</v>
      </c>
      <c r="G382" s="212">
        <f>5</f>
        <v>5</v>
      </c>
      <c r="H382" s="212">
        <f t="shared" si="50"/>
        <v>48.369366505487896</v>
      </c>
      <c r="I382" s="212">
        <f t="shared" si="53"/>
        <v>0.9</v>
      </c>
      <c r="J382" s="212">
        <f>1</f>
        <v>1</v>
      </c>
      <c r="K382" s="212">
        <f t="shared" si="54"/>
        <v>4.1870000000000003</v>
      </c>
      <c r="L382" s="212"/>
      <c r="M382" s="212"/>
      <c r="N382" s="212"/>
      <c r="O382" s="212"/>
      <c r="P382" s="212"/>
      <c r="Q382" s="212"/>
      <c r="R382" s="212"/>
      <c r="S382" s="212"/>
      <c r="T382" s="212"/>
      <c r="U382" s="212"/>
      <c r="V382" s="212"/>
      <c r="W382" s="212"/>
      <c r="X382" s="212"/>
      <c r="Y382" s="212"/>
      <c r="Z382" s="212"/>
      <c r="AA382" s="212"/>
      <c r="AB382" s="212"/>
      <c r="AC382" s="196"/>
      <c r="AD382" s="27"/>
      <c r="AE382" s="213"/>
      <c r="AF382" s="212">
        <f t="shared" si="55"/>
        <v>-4.4859122216855951E-6</v>
      </c>
      <c r="AG382" s="212"/>
      <c r="AH382" s="212"/>
      <c r="AI382" s="212"/>
      <c r="AJ382" s="212"/>
      <c r="AK382" s="212"/>
      <c r="AL382" s="212"/>
      <c r="AM382" s="212"/>
      <c r="AN382" s="212"/>
      <c r="AO382" s="212"/>
      <c r="AP382" s="196"/>
      <c r="AQ382" s="196"/>
      <c r="AR382" s="211"/>
      <c r="AS382" s="212">
        <f t="shared" si="47"/>
        <v>-1.1353002854264105E-7</v>
      </c>
      <c r="AT382" s="212">
        <f>[1]!LIM(AT381+Mode*r0*((1+IntegrationStep/2/Ti+Td/IntegrationStep)*AS382-(1-IntegrationStep/2/Ti+2*Td/IntegrationStep)*AS381+Td/IntegrationStep*AS380))</f>
        <v>0.40307805421239912</v>
      </c>
      <c r="AU382" s="212">
        <f t="shared" si="48"/>
        <v>40.794124671602574</v>
      </c>
      <c r="AW382" s="58"/>
      <c r="AX382" s="58"/>
      <c r="AY382" s="58"/>
      <c r="AZ382" s="58"/>
    </row>
    <row r="383" spans="1:52" s="185" customFormat="1" ht="15" customHeight="1" x14ac:dyDescent="0.25">
      <c r="A383" s="200"/>
      <c r="B383" s="211"/>
      <c r="C383" s="212">
        <f t="shared" si="49"/>
        <v>37.200000000000259</v>
      </c>
      <c r="D383" s="231">
        <f>15+[1]!STEPLOAD(5)</f>
        <v>20</v>
      </c>
      <c r="E383" s="212">
        <f t="shared" si="51"/>
        <v>40.794135576014206</v>
      </c>
      <c r="F383" s="212">
        <f t="shared" si="52"/>
        <v>0.5</v>
      </c>
      <c r="G383" s="212">
        <f>5</f>
        <v>5</v>
      </c>
      <c r="H383" s="212">
        <f t="shared" si="50"/>
        <v>48.369369572211646</v>
      </c>
      <c r="I383" s="212">
        <f t="shared" si="53"/>
        <v>0.9</v>
      </c>
      <c r="J383" s="212">
        <f>1</f>
        <v>1</v>
      </c>
      <c r="K383" s="212">
        <f t="shared" si="54"/>
        <v>4.1870000000000003</v>
      </c>
      <c r="L383" s="212"/>
      <c r="M383" s="212"/>
      <c r="N383" s="212"/>
      <c r="O383" s="212"/>
      <c r="P383" s="212"/>
      <c r="Q383" s="212"/>
      <c r="R383" s="212"/>
      <c r="S383" s="212"/>
      <c r="T383" s="212"/>
      <c r="U383" s="212"/>
      <c r="V383" s="212"/>
      <c r="W383" s="212"/>
      <c r="X383" s="212"/>
      <c r="Y383" s="212"/>
      <c r="Z383" s="212"/>
      <c r="AA383" s="212"/>
      <c r="AB383" s="212"/>
      <c r="AC383" s="196"/>
      <c r="AD383" s="27"/>
      <c r="AE383" s="213"/>
      <c r="AF383" s="212">
        <f t="shared" si="55"/>
        <v>-4.3092140082912067E-6</v>
      </c>
      <c r="AG383" s="212"/>
      <c r="AH383" s="212"/>
      <c r="AI383" s="212"/>
      <c r="AJ383" s="212"/>
      <c r="AK383" s="212"/>
      <c r="AL383" s="212"/>
      <c r="AM383" s="212"/>
      <c r="AN383" s="212"/>
      <c r="AO383" s="212"/>
      <c r="AP383" s="196"/>
      <c r="AQ383" s="196"/>
      <c r="AR383" s="211"/>
      <c r="AS383" s="212">
        <f t="shared" si="47"/>
        <v>-1.0904411631429412E-7</v>
      </c>
      <c r="AT383" s="212">
        <f>[1]!LIM(AT382+Mode*r0*((1+IntegrationStep/2/Ti+Td/IntegrationStep)*AS383-(1-IntegrationStep/2/Ti+2*Td/IntegrationStep)*AS382+Td/IntegrationStep*AS381))</f>
        <v>0.40307807976843041</v>
      </c>
      <c r="AU383" s="212">
        <f t="shared" si="48"/>
        <v>40.794124671602574</v>
      </c>
      <c r="AW383" s="58"/>
      <c r="AX383" s="58"/>
      <c r="AY383" s="58"/>
      <c r="AZ383" s="58"/>
    </row>
    <row r="384" spans="1:52" s="185" customFormat="1" ht="15" customHeight="1" x14ac:dyDescent="0.25">
      <c r="A384" s="200"/>
      <c r="B384" s="211"/>
      <c r="C384" s="212">
        <f t="shared" si="49"/>
        <v>37.30000000000026</v>
      </c>
      <c r="D384" s="231">
        <f>15+[1]!STEPLOAD(5)</f>
        <v>20</v>
      </c>
      <c r="E384" s="212">
        <f t="shared" si="51"/>
        <v>40.794135145092802</v>
      </c>
      <c r="F384" s="212">
        <f t="shared" si="52"/>
        <v>0.5</v>
      </c>
      <c r="G384" s="212">
        <f>5</f>
        <v>5</v>
      </c>
      <c r="H384" s="212">
        <f t="shared" si="50"/>
        <v>48.369372518768991</v>
      </c>
      <c r="I384" s="212">
        <f t="shared" si="53"/>
        <v>0.9</v>
      </c>
      <c r="J384" s="212">
        <f>1</f>
        <v>1</v>
      </c>
      <c r="K384" s="212">
        <f t="shared" si="54"/>
        <v>4.1870000000000003</v>
      </c>
      <c r="L384" s="212"/>
      <c r="M384" s="212"/>
      <c r="N384" s="212"/>
      <c r="O384" s="212"/>
      <c r="P384" s="212"/>
      <c r="Q384" s="212"/>
      <c r="R384" s="212"/>
      <c r="S384" s="212"/>
      <c r="T384" s="212"/>
      <c r="U384" s="212"/>
      <c r="V384" s="212"/>
      <c r="W384" s="212"/>
      <c r="X384" s="212"/>
      <c r="Y384" s="212"/>
      <c r="Z384" s="212"/>
      <c r="AA384" s="212"/>
      <c r="AB384" s="212"/>
      <c r="AC384" s="196"/>
      <c r="AD384" s="27"/>
      <c r="AE384" s="213"/>
      <c r="AF384" s="212">
        <f t="shared" si="55"/>
        <v>-4.1394487553247927E-6</v>
      </c>
      <c r="AG384" s="212"/>
      <c r="AH384" s="212"/>
      <c r="AI384" s="212"/>
      <c r="AJ384" s="212"/>
      <c r="AK384" s="212"/>
      <c r="AL384" s="212"/>
      <c r="AM384" s="212"/>
      <c r="AN384" s="212"/>
      <c r="AO384" s="212"/>
      <c r="AP384" s="196"/>
      <c r="AQ384" s="196"/>
      <c r="AR384" s="211"/>
      <c r="AS384" s="212">
        <f t="shared" si="47"/>
        <v>-1.0473490227980164E-7</v>
      </c>
      <c r="AT384" s="212">
        <f>[1]!LIM(AT383+Mode*r0*((1+IntegrationStep/2/Ti+Td/IntegrationStep)*AS384-(1-IntegrationStep/2/Ti+2*Td/IntegrationStep)*AS383+Td/IntegrationStep*AS382))</f>
        <v>0.40307810432307495</v>
      </c>
      <c r="AU384" s="212">
        <f t="shared" si="48"/>
        <v>40.794124671602574</v>
      </c>
      <c r="AW384" s="58"/>
      <c r="AX384" s="58"/>
      <c r="AY384" s="58"/>
      <c r="AZ384" s="58"/>
    </row>
    <row r="385" spans="1:52" s="185" customFormat="1" ht="15" customHeight="1" x14ac:dyDescent="0.25">
      <c r="A385" s="200"/>
      <c r="B385" s="211"/>
      <c r="C385" s="212">
        <f t="shared" si="49"/>
        <v>37.400000000000261</v>
      </c>
      <c r="D385" s="231">
        <f>15+[1]!STEPLOAD(5)</f>
        <v>20</v>
      </c>
      <c r="E385" s="212">
        <f t="shared" si="51"/>
        <v>40.794134731147928</v>
      </c>
      <c r="F385" s="212">
        <f t="shared" si="52"/>
        <v>0.5</v>
      </c>
      <c r="G385" s="212">
        <f>5</f>
        <v>5</v>
      </c>
      <c r="H385" s="212">
        <f t="shared" si="50"/>
        <v>48.369375349843736</v>
      </c>
      <c r="I385" s="212">
        <f t="shared" si="53"/>
        <v>0.9</v>
      </c>
      <c r="J385" s="212">
        <f>1</f>
        <v>1</v>
      </c>
      <c r="K385" s="212">
        <f t="shared" si="54"/>
        <v>4.1870000000000003</v>
      </c>
      <c r="L385" s="212"/>
      <c r="M385" s="212"/>
      <c r="N385" s="212"/>
      <c r="O385" s="212"/>
      <c r="P385" s="212"/>
      <c r="Q385" s="212"/>
      <c r="R385" s="212"/>
      <c r="S385" s="212"/>
      <c r="T385" s="212"/>
      <c r="U385" s="212"/>
      <c r="V385" s="212"/>
      <c r="W385" s="212"/>
      <c r="X385" s="212"/>
      <c r="Y385" s="212"/>
      <c r="Z385" s="212"/>
      <c r="AA385" s="212"/>
      <c r="AB385" s="212"/>
      <c r="AC385" s="196"/>
      <c r="AD385" s="27"/>
      <c r="AE385" s="213"/>
      <c r="AF385" s="212">
        <f t="shared" si="55"/>
        <v>-3.9763457762020948E-6</v>
      </c>
      <c r="AG385" s="212"/>
      <c r="AH385" s="212"/>
      <c r="AI385" s="212"/>
      <c r="AJ385" s="212"/>
      <c r="AK385" s="212"/>
      <c r="AL385" s="212"/>
      <c r="AM385" s="212"/>
      <c r="AN385" s="212"/>
      <c r="AO385" s="212"/>
      <c r="AP385" s="196"/>
      <c r="AQ385" s="196"/>
      <c r="AR385" s="211"/>
      <c r="AS385" s="212">
        <f t="shared" si="47"/>
        <v>-1.0059545353158228E-7</v>
      </c>
      <c r="AT385" s="212">
        <f>[1]!LIM(AT384+Mode*r0*((1+IntegrationStep/2/Ti+Td/IntegrationStep)*AS385-(1-IntegrationStep/2/Ti+2*Td/IntegrationStep)*AS384+Td/IntegrationStep*AS383))</f>
        <v>0.40307812791536446</v>
      </c>
      <c r="AU385" s="212">
        <f t="shared" si="48"/>
        <v>40.794124671602574</v>
      </c>
      <c r="AW385" s="58"/>
      <c r="AX385" s="58"/>
      <c r="AY385" s="58"/>
      <c r="AZ385" s="58"/>
    </row>
    <row r="386" spans="1:52" s="185" customFormat="1" ht="15" customHeight="1" x14ac:dyDescent="0.25">
      <c r="A386" s="200"/>
      <c r="B386" s="211"/>
      <c r="C386" s="212">
        <f t="shared" si="49"/>
        <v>37.500000000000263</v>
      </c>
      <c r="D386" s="231">
        <f>15+[1]!STEPLOAD(5)</f>
        <v>20</v>
      </c>
      <c r="E386" s="212">
        <f t="shared" si="51"/>
        <v>40.794134333513348</v>
      </c>
      <c r="F386" s="212">
        <f t="shared" si="52"/>
        <v>0.5</v>
      </c>
      <c r="G386" s="212">
        <f>5</f>
        <v>5</v>
      </c>
      <c r="H386" s="212">
        <f t="shared" si="50"/>
        <v>48.369378069938534</v>
      </c>
      <c r="I386" s="212">
        <f t="shared" si="53"/>
        <v>0.9</v>
      </c>
      <c r="J386" s="212">
        <f>1</f>
        <v>1</v>
      </c>
      <c r="K386" s="212">
        <f t="shared" si="54"/>
        <v>4.1870000000000003</v>
      </c>
      <c r="L386" s="212"/>
      <c r="M386" s="212"/>
      <c r="N386" s="212"/>
      <c r="O386" s="212"/>
      <c r="P386" s="212"/>
      <c r="Q386" s="212"/>
      <c r="R386" s="212"/>
      <c r="S386" s="212"/>
      <c r="T386" s="212"/>
      <c r="U386" s="212"/>
      <c r="V386" s="212"/>
      <c r="W386" s="212"/>
      <c r="X386" s="212"/>
      <c r="Y386" s="212"/>
      <c r="Z386" s="212"/>
      <c r="AA386" s="212"/>
      <c r="AB386" s="212"/>
      <c r="AC386" s="196"/>
      <c r="AD386" s="27"/>
      <c r="AE386" s="213"/>
      <c r="AF386" s="212">
        <f t="shared" si="55"/>
        <v>-3.8196448781668835E-6</v>
      </c>
      <c r="AG386" s="212"/>
      <c r="AH386" s="212"/>
      <c r="AI386" s="212"/>
      <c r="AJ386" s="212"/>
      <c r="AK386" s="212"/>
      <c r="AL386" s="212"/>
      <c r="AM386" s="212"/>
      <c r="AN386" s="212"/>
      <c r="AO386" s="212"/>
      <c r="AP386" s="196"/>
      <c r="AQ386" s="196"/>
      <c r="AR386" s="211"/>
      <c r="AS386" s="212">
        <f t="shared" si="47"/>
        <v>-9.6619107736728443E-8</v>
      </c>
      <c r="AT386" s="212">
        <f>[1]!LIM(AT385+Mode*r0*((1+IntegrationStep/2/Ti+Td/IntegrationStep)*AS386-(1-IntegrationStep/2/Ti+2*Td/IntegrationStep)*AS385+Td/IntegrationStep*AS384))</f>
        <v>0.40307815058282115</v>
      </c>
      <c r="AU386" s="212">
        <f t="shared" si="48"/>
        <v>40.794124671602574</v>
      </c>
      <c r="AW386" s="58"/>
      <c r="AX386" s="58"/>
      <c r="AY386" s="58"/>
      <c r="AZ386" s="58"/>
    </row>
    <row r="387" spans="1:52" s="185" customFormat="1" ht="15" customHeight="1" x14ac:dyDescent="0.25">
      <c r="A387" s="200"/>
      <c r="B387" s="211"/>
      <c r="C387" s="212">
        <f t="shared" si="49"/>
        <v>37.600000000000264</v>
      </c>
      <c r="D387" s="231">
        <f>15+[1]!STEPLOAD(5)</f>
        <v>20</v>
      </c>
      <c r="E387" s="212">
        <f t="shared" si="51"/>
        <v>40.794133951548858</v>
      </c>
      <c r="F387" s="212">
        <f t="shared" si="52"/>
        <v>0.5</v>
      </c>
      <c r="G387" s="212">
        <f>5</f>
        <v>5</v>
      </c>
      <c r="H387" s="212">
        <f t="shared" si="50"/>
        <v>48.369380683381529</v>
      </c>
      <c r="I387" s="212">
        <f t="shared" si="53"/>
        <v>0.9</v>
      </c>
      <c r="J387" s="212">
        <f>1</f>
        <v>1</v>
      </c>
      <c r="K387" s="212">
        <f t="shared" si="54"/>
        <v>4.1870000000000003</v>
      </c>
      <c r="L387" s="212"/>
      <c r="M387" s="212"/>
      <c r="N387" s="212"/>
      <c r="O387" s="212"/>
      <c r="P387" s="212"/>
      <c r="Q387" s="212"/>
      <c r="R387" s="212"/>
      <c r="S387" s="212"/>
      <c r="T387" s="212"/>
      <c r="U387" s="212"/>
      <c r="V387" s="212"/>
      <c r="W387" s="212"/>
      <c r="X387" s="212"/>
      <c r="Y387" s="212"/>
      <c r="Z387" s="212"/>
      <c r="AA387" s="212"/>
      <c r="AB387" s="212"/>
      <c r="AC387" s="196"/>
      <c r="AD387" s="27"/>
      <c r="AE387" s="213"/>
      <c r="AF387" s="212">
        <f t="shared" si="55"/>
        <v>-3.6690959710483639E-6</v>
      </c>
      <c r="AG387" s="212"/>
      <c r="AH387" s="212"/>
      <c r="AI387" s="212"/>
      <c r="AJ387" s="212"/>
      <c r="AK387" s="212"/>
      <c r="AL387" s="212"/>
      <c r="AM387" s="212"/>
      <c r="AN387" s="212"/>
      <c r="AO387" s="212"/>
      <c r="AP387" s="196"/>
      <c r="AQ387" s="196"/>
      <c r="AR387" s="211"/>
      <c r="AS387" s="212">
        <f t="shared" si="47"/>
        <v>-9.279946283413665E-8</v>
      </c>
      <c r="AT387" s="212">
        <f>[1]!LIM(AT386+Mode*r0*((1+IntegrationStep/2/Ti+Td/IntegrationStep)*AS387-(1-IntegrationStep/2/Ti+2*Td/IntegrationStep)*AS386+Td/IntegrationStep*AS385))</f>
        <v>0.40307817236151272</v>
      </c>
      <c r="AU387" s="212">
        <f t="shared" si="48"/>
        <v>40.794124671602574</v>
      </c>
      <c r="AW387" s="58"/>
      <c r="AX387" s="58"/>
      <c r="AY387" s="58"/>
      <c r="AZ387" s="58"/>
    </row>
    <row r="388" spans="1:52" s="185" customFormat="1" ht="15" customHeight="1" x14ac:dyDescent="0.25">
      <c r="A388" s="200"/>
      <c r="B388" s="211"/>
      <c r="C388" s="212">
        <f t="shared" si="49"/>
        <v>37.700000000000266</v>
      </c>
      <c r="D388" s="231">
        <f>15+[1]!STEPLOAD(5)</f>
        <v>20</v>
      </c>
      <c r="E388" s="212">
        <f t="shared" si="51"/>
        <v>40.794133584639262</v>
      </c>
      <c r="F388" s="212">
        <f t="shared" si="52"/>
        <v>0.5</v>
      </c>
      <c r="G388" s="212">
        <f>5</f>
        <v>5</v>
      </c>
      <c r="H388" s="212">
        <f t="shared" si="50"/>
        <v>48.369383194333089</v>
      </c>
      <c r="I388" s="212">
        <f t="shared" si="53"/>
        <v>0.9</v>
      </c>
      <c r="J388" s="212">
        <f>1</f>
        <v>1</v>
      </c>
      <c r="K388" s="212">
        <f t="shared" si="54"/>
        <v>4.1870000000000003</v>
      </c>
      <c r="L388" s="212"/>
      <c r="M388" s="212"/>
      <c r="N388" s="212"/>
      <c r="O388" s="212"/>
      <c r="P388" s="212"/>
      <c r="Q388" s="212"/>
      <c r="R388" s="212"/>
      <c r="S388" s="212"/>
      <c r="T388" s="212"/>
      <c r="U388" s="212"/>
      <c r="V388" s="212"/>
      <c r="W388" s="212"/>
      <c r="X388" s="212"/>
      <c r="Y388" s="212"/>
      <c r="Z388" s="212"/>
      <c r="AA388" s="212"/>
      <c r="AB388" s="212"/>
      <c r="AC388" s="196"/>
      <c r="AD388" s="27"/>
      <c r="AE388" s="213"/>
      <c r="AF388" s="212">
        <f t="shared" si="55"/>
        <v>-3.5244586822358315E-6</v>
      </c>
      <c r="AG388" s="212"/>
      <c r="AH388" s="212"/>
      <c r="AI388" s="212"/>
      <c r="AJ388" s="212"/>
      <c r="AK388" s="212"/>
      <c r="AL388" s="212"/>
      <c r="AM388" s="212"/>
      <c r="AN388" s="212"/>
      <c r="AO388" s="212"/>
      <c r="AP388" s="196"/>
      <c r="AQ388" s="196"/>
      <c r="AR388" s="211"/>
      <c r="AS388" s="212">
        <f t="shared" si="47"/>
        <v>-8.913036687374643E-8</v>
      </c>
      <c r="AT388" s="212">
        <f>[1]!LIM(AT387+Mode*r0*((1+IntegrationStep/2/Ti+Td/IntegrationStep)*AS388-(1-IntegrationStep/2/Ti+2*Td/IntegrationStep)*AS387+Td/IntegrationStep*AS386))</f>
        <v>0.40307819328610905</v>
      </c>
      <c r="AU388" s="212">
        <f t="shared" si="48"/>
        <v>40.794124671602574</v>
      </c>
      <c r="AW388" s="58"/>
      <c r="AX388" s="58"/>
      <c r="AY388" s="58"/>
      <c r="AZ388" s="58"/>
    </row>
    <row r="389" spans="1:52" s="185" customFormat="1" ht="15" customHeight="1" x14ac:dyDescent="0.25">
      <c r="A389" s="200"/>
      <c r="B389" s="211"/>
      <c r="C389" s="212">
        <f t="shared" si="49"/>
        <v>37.800000000000267</v>
      </c>
      <c r="D389" s="231">
        <f>15+[1]!STEPLOAD(5)</f>
        <v>20</v>
      </c>
      <c r="E389" s="212">
        <f t="shared" si="51"/>
        <v>40.794133232193396</v>
      </c>
      <c r="F389" s="212">
        <f t="shared" si="52"/>
        <v>0.5</v>
      </c>
      <c r="G389" s="212">
        <f>5</f>
        <v>5</v>
      </c>
      <c r="H389" s="212">
        <f t="shared" si="50"/>
        <v>48.369385606792491</v>
      </c>
      <c r="I389" s="212">
        <f t="shared" si="53"/>
        <v>0.9</v>
      </c>
      <c r="J389" s="212">
        <f>1</f>
        <v>1</v>
      </c>
      <c r="K389" s="212">
        <f t="shared" si="54"/>
        <v>4.1870000000000003</v>
      </c>
      <c r="L389" s="212"/>
      <c r="M389" s="212"/>
      <c r="N389" s="212"/>
      <c r="O389" s="212"/>
      <c r="P389" s="212"/>
      <c r="Q389" s="212"/>
      <c r="R389" s="212"/>
      <c r="S389" s="212"/>
      <c r="T389" s="212"/>
      <c r="U389" s="212"/>
      <c r="V389" s="212"/>
      <c r="W389" s="212"/>
      <c r="X389" s="212"/>
      <c r="Y389" s="212"/>
      <c r="Z389" s="212"/>
      <c r="AA389" s="212"/>
      <c r="AB389" s="212"/>
      <c r="AC389" s="196"/>
      <c r="AD389" s="27"/>
      <c r="AE389" s="213"/>
      <c r="AF389" s="212">
        <f t="shared" si="55"/>
        <v>-3.3855019649919882E-6</v>
      </c>
      <c r="AG389" s="212"/>
      <c r="AH389" s="212"/>
      <c r="AI389" s="212"/>
      <c r="AJ389" s="212"/>
      <c r="AK389" s="212"/>
      <c r="AL389" s="212"/>
      <c r="AM389" s="212"/>
      <c r="AN389" s="212"/>
      <c r="AO389" s="212"/>
      <c r="AP389" s="196"/>
      <c r="AQ389" s="196"/>
      <c r="AR389" s="211"/>
      <c r="AS389" s="212">
        <f t="shared" si="47"/>
        <v>-8.5605908211050517E-8</v>
      </c>
      <c r="AT389" s="212">
        <f>[1]!LIM(AT388+Mode*r0*((1+IntegrationStep/2/Ti+Td/IntegrationStep)*AS389-(1-IntegrationStep/2/Ti+2*Td/IntegrationStep)*AS388+Td/IntegrationStep*AS387))</f>
        <v>0.40307821338993743</v>
      </c>
      <c r="AU389" s="212">
        <f t="shared" si="48"/>
        <v>40.794124671602574</v>
      </c>
      <c r="AW389" s="58"/>
      <c r="AX389" s="58"/>
      <c r="AY389" s="58"/>
      <c r="AZ389" s="58"/>
    </row>
    <row r="390" spans="1:52" s="185" customFormat="1" ht="15" customHeight="1" x14ac:dyDescent="0.25">
      <c r="A390" s="200"/>
      <c r="B390" s="211"/>
      <c r="C390" s="212">
        <f t="shared" si="49"/>
        <v>37.900000000000269</v>
      </c>
      <c r="D390" s="231">
        <f>15+[1]!STEPLOAD(5)</f>
        <v>20</v>
      </c>
      <c r="E390" s="212">
        <f t="shared" si="51"/>
        <v>40.794132893643201</v>
      </c>
      <c r="F390" s="212">
        <f t="shared" si="52"/>
        <v>0.5</v>
      </c>
      <c r="G390" s="212">
        <f>5</f>
        <v>5</v>
      </c>
      <c r="H390" s="212">
        <f t="shared" si="50"/>
        <v>48.369387924603906</v>
      </c>
      <c r="I390" s="212">
        <f t="shared" si="53"/>
        <v>0.9</v>
      </c>
      <c r="J390" s="212">
        <f>1</f>
        <v>1</v>
      </c>
      <c r="K390" s="212">
        <f t="shared" si="54"/>
        <v>4.1870000000000003</v>
      </c>
      <c r="L390" s="212"/>
      <c r="M390" s="212"/>
      <c r="N390" s="212"/>
      <c r="O390" s="212"/>
      <c r="P390" s="212"/>
      <c r="Q390" s="212"/>
      <c r="R390" s="212"/>
      <c r="S390" s="212"/>
      <c r="T390" s="212"/>
      <c r="U390" s="212"/>
      <c r="V390" s="212"/>
      <c r="W390" s="212"/>
      <c r="X390" s="212"/>
      <c r="Y390" s="212"/>
      <c r="Z390" s="212"/>
      <c r="AA390" s="212"/>
      <c r="AB390" s="212"/>
      <c r="AC390" s="196"/>
      <c r="AD390" s="27"/>
      <c r="AE390" s="213"/>
      <c r="AF390" s="212">
        <f t="shared" si="55"/>
        <v>-3.2520037507310917E-6</v>
      </c>
      <c r="AG390" s="212"/>
      <c r="AH390" s="212"/>
      <c r="AI390" s="212"/>
      <c r="AJ390" s="212"/>
      <c r="AK390" s="212"/>
      <c r="AL390" s="212"/>
      <c r="AM390" s="212"/>
      <c r="AN390" s="212"/>
      <c r="AO390" s="212"/>
      <c r="AP390" s="196"/>
      <c r="AQ390" s="196"/>
      <c r="AR390" s="211"/>
      <c r="AS390" s="212">
        <f t="shared" si="47"/>
        <v>-8.2220406270039353E-8</v>
      </c>
      <c r="AT390" s="212">
        <f>[1]!LIM(AT389+Mode*r0*((1+IntegrationStep/2/Ti+Td/IntegrationStep)*AS390-(1-IntegrationStep/2/Ti+2*Td/IntegrationStep)*AS389+Td/IntegrationStep*AS388))</f>
        <v>0.40307823270503257</v>
      </c>
      <c r="AU390" s="212">
        <f t="shared" si="48"/>
        <v>40.794124671602574</v>
      </c>
      <c r="AW390" s="58"/>
      <c r="AX390" s="58"/>
      <c r="AY390" s="58"/>
      <c r="AZ390" s="58"/>
    </row>
    <row r="391" spans="1:52" s="185" customFormat="1" ht="15" customHeight="1" x14ac:dyDescent="0.25">
      <c r="A391" s="200"/>
      <c r="B391" s="211"/>
      <c r="C391" s="212">
        <f t="shared" si="49"/>
        <v>38.00000000000027</v>
      </c>
      <c r="D391" s="231">
        <f>15+[1]!STEPLOAD(5)</f>
        <v>20</v>
      </c>
      <c r="E391" s="212">
        <f t="shared" si="51"/>
        <v>40.794132568442826</v>
      </c>
      <c r="F391" s="212">
        <f t="shared" si="52"/>
        <v>0.5</v>
      </c>
      <c r="G391" s="212">
        <f>5</f>
        <v>5</v>
      </c>
      <c r="H391" s="212">
        <f t="shared" si="50"/>
        <v>48.369390151462461</v>
      </c>
      <c r="I391" s="212">
        <f t="shared" si="53"/>
        <v>0.9</v>
      </c>
      <c r="J391" s="212">
        <f>1</f>
        <v>1</v>
      </c>
      <c r="K391" s="212">
        <f t="shared" si="54"/>
        <v>4.1870000000000003</v>
      </c>
      <c r="L391" s="212"/>
      <c r="M391" s="212"/>
      <c r="N391" s="212"/>
      <c r="O391" s="212"/>
      <c r="P391" s="212"/>
      <c r="Q391" s="212"/>
      <c r="R391" s="212"/>
      <c r="S391" s="212"/>
      <c r="T391" s="212"/>
      <c r="U391" s="212"/>
      <c r="V391" s="212"/>
      <c r="W391" s="212"/>
      <c r="X391" s="212"/>
      <c r="Y391" s="212"/>
      <c r="Z391" s="212"/>
      <c r="AA391" s="212"/>
      <c r="AB391" s="212"/>
      <c r="AC391" s="196"/>
      <c r="AD391" s="27"/>
      <c r="AE391" s="213"/>
      <c r="AF391" s="212">
        <f t="shared" si="55"/>
        <v>-3.1237506017411931E-6</v>
      </c>
      <c r="AG391" s="212"/>
      <c r="AH391" s="212"/>
      <c r="AI391" s="212"/>
      <c r="AJ391" s="212"/>
      <c r="AK391" s="212"/>
      <c r="AL391" s="212"/>
      <c r="AM391" s="212"/>
      <c r="AN391" s="212"/>
      <c r="AO391" s="212"/>
      <c r="AP391" s="196"/>
      <c r="AQ391" s="196"/>
      <c r="AR391" s="211"/>
      <c r="AS391" s="212">
        <f t="shared" si="47"/>
        <v>-7.8968402519308262E-8</v>
      </c>
      <c r="AT391" s="212">
        <f>[1]!LIM(AT390+Mode*r0*((1+IntegrationStep/2/Ti+Td/IntegrationStep)*AS391-(1-IntegrationStep/2/Ti+2*Td/IntegrationStep)*AS390+Td/IntegrationStep*AS389))</f>
        <v>0.40307825126218716</v>
      </c>
      <c r="AU391" s="212">
        <f t="shared" si="48"/>
        <v>40.794124671602574</v>
      </c>
      <c r="AW391" s="58"/>
      <c r="AX391" s="58"/>
      <c r="AY391" s="58"/>
      <c r="AZ391" s="58"/>
    </row>
    <row r="392" spans="1:52" s="185" customFormat="1" ht="15" customHeight="1" x14ac:dyDescent="0.25">
      <c r="A392" s="200"/>
      <c r="B392" s="211"/>
      <c r="C392" s="212">
        <f t="shared" si="49"/>
        <v>38.100000000000271</v>
      </c>
      <c r="D392" s="231">
        <f>15+[1]!STEPLOAD(5)</f>
        <v>20</v>
      </c>
      <c r="E392" s="212">
        <f t="shared" si="51"/>
        <v>40.794132256067769</v>
      </c>
      <c r="F392" s="212">
        <f t="shared" si="52"/>
        <v>0.5</v>
      </c>
      <c r="G392" s="212">
        <f>5</f>
        <v>5</v>
      </c>
      <c r="H392" s="212">
        <f t="shared" si="50"/>
        <v>48.369392290919762</v>
      </c>
      <c r="I392" s="212">
        <f t="shared" si="53"/>
        <v>0.9</v>
      </c>
      <c r="J392" s="212">
        <f>1</f>
        <v>1</v>
      </c>
      <c r="K392" s="212">
        <f t="shared" si="54"/>
        <v>4.1870000000000003</v>
      </c>
      <c r="L392" s="212"/>
      <c r="M392" s="212"/>
      <c r="N392" s="212"/>
      <c r="O392" s="212"/>
      <c r="P392" s="212"/>
      <c r="Q392" s="212"/>
      <c r="R392" s="212"/>
      <c r="S392" s="212"/>
      <c r="T392" s="212"/>
      <c r="U392" s="212"/>
      <c r="V392" s="212"/>
      <c r="W392" s="212"/>
      <c r="X392" s="212"/>
      <c r="Y392" s="212"/>
      <c r="Z392" s="212"/>
      <c r="AA392" s="212"/>
      <c r="AB392" s="212"/>
      <c r="AC392" s="196"/>
      <c r="AD392" s="27"/>
      <c r="AE392" s="213"/>
      <c r="AF392" s="212">
        <f t="shared" si="55"/>
        <v>-3.0005373816699432E-6</v>
      </c>
      <c r="AG392" s="212"/>
      <c r="AH392" s="212"/>
      <c r="AI392" s="212"/>
      <c r="AJ392" s="212"/>
      <c r="AK392" s="212"/>
      <c r="AL392" s="212"/>
      <c r="AM392" s="212"/>
      <c r="AN392" s="212"/>
      <c r="AO392" s="212"/>
      <c r="AP392" s="196"/>
      <c r="AQ392" s="196"/>
      <c r="AR392" s="211"/>
      <c r="AS392" s="212">
        <f t="shared" si="47"/>
        <v>-7.5844651945544685E-8</v>
      </c>
      <c r="AT392" s="212">
        <f>[1]!LIM(AT391+Mode*r0*((1+IntegrationStep/2/Ti+Td/IntegrationStep)*AS392-(1-IntegrationStep/2/Ti+2*Td/IntegrationStep)*AS391+Td/IntegrationStep*AS390))</f>
        <v>0.40307826909099803</v>
      </c>
      <c r="AU392" s="212">
        <f t="shared" si="48"/>
        <v>40.794124671602574</v>
      </c>
      <c r="AW392" s="58"/>
      <c r="AX392" s="58"/>
      <c r="AY392" s="58"/>
      <c r="AZ392" s="58"/>
    </row>
    <row r="393" spans="1:52" s="185" customFormat="1" ht="15" customHeight="1" x14ac:dyDescent="0.25">
      <c r="A393" s="200"/>
      <c r="B393" s="211"/>
      <c r="C393" s="212">
        <f t="shared" si="49"/>
        <v>38.200000000000273</v>
      </c>
      <c r="D393" s="231">
        <f>15+[1]!STEPLOAD(5)</f>
        <v>20</v>
      </c>
      <c r="E393" s="212">
        <f t="shared" si="51"/>
        <v>40.794131956014034</v>
      </c>
      <c r="F393" s="212">
        <f t="shared" si="52"/>
        <v>0.5</v>
      </c>
      <c r="G393" s="212">
        <f>5</f>
        <v>5</v>
      </c>
      <c r="H393" s="212">
        <f t="shared" si="50"/>
        <v>48.369394346389747</v>
      </c>
      <c r="I393" s="212">
        <f t="shared" si="53"/>
        <v>0.9</v>
      </c>
      <c r="J393" s="212">
        <f>1</f>
        <v>1</v>
      </c>
      <c r="K393" s="212">
        <f t="shared" si="54"/>
        <v>4.1870000000000003</v>
      </c>
      <c r="L393" s="212"/>
      <c r="M393" s="212"/>
      <c r="N393" s="212"/>
      <c r="O393" s="212"/>
      <c r="P393" s="212"/>
      <c r="Q393" s="212"/>
      <c r="R393" s="212"/>
      <c r="S393" s="212"/>
      <c r="T393" s="212"/>
      <c r="U393" s="212"/>
      <c r="V393" s="212"/>
      <c r="W393" s="212"/>
      <c r="X393" s="212"/>
      <c r="Y393" s="212"/>
      <c r="Z393" s="212"/>
      <c r="AA393" s="212"/>
      <c r="AB393" s="212"/>
      <c r="AC393" s="196"/>
      <c r="AD393" s="27"/>
      <c r="AE393" s="213"/>
      <c r="AF393" s="212">
        <f t="shared" si="55"/>
        <v>-2.8821669268985772E-6</v>
      </c>
      <c r="AG393" s="212"/>
      <c r="AH393" s="212"/>
      <c r="AI393" s="212"/>
      <c r="AJ393" s="212"/>
      <c r="AK393" s="212"/>
      <c r="AL393" s="212"/>
      <c r="AM393" s="212"/>
      <c r="AN393" s="212"/>
      <c r="AO393" s="212"/>
      <c r="AP393" s="196"/>
      <c r="AQ393" s="196"/>
      <c r="AR393" s="211"/>
      <c r="AS393" s="212">
        <f t="shared" si="47"/>
        <v>-7.2844114598069612E-8</v>
      </c>
      <c r="AT393" s="212">
        <f>[1]!LIM(AT392+Mode*r0*((1+IntegrationStep/2/Ti+Td/IntegrationStep)*AS393-(1-IntegrationStep/2/Ti+2*Td/IntegrationStep)*AS392+Td/IntegrationStep*AS391))</f>
        <v>0.40307828621991454</v>
      </c>
      <c r="AU393" s="212">
        <f t="shared" si="48"/>
        <v>40.794124671602574</v>
      </c>
      <c r="AW393" s="58"/>
      <c r="AX393" s="58"/>
      <c r="AY393" s="58"/>
      <c r="AZ393" s="58"/>
    </row>
    <row r="394" spans="1:52" s="185" customFormat="1" ht="15" customHeight="1" x14ac:dyDescent="0.25">
      <c r="A394" s="200"/>
      <c r="B394" s="211"/>
      <c r="C394" s="212">
        <f t="shared" si="49"/>
        <v>38.300000000000274</v>
      </c>
      <c r="D394" s="231">
        <f>15+[1]!STEPLOAD(5)</f>
        <v>20</v>
      </c>
      <c r="E394" s="212">
        <f t="shared" si="51"/>
        <v>40.794131667797345</v>
      </c>
      <c r="F394" s="212">
        <f t="shared" si="52"/>
        <v>0.5</v>
      </c>
      <c r="G394" s="212">
        <f>5</f>
        <v>5</v>
      </c>
      <c r="H394" s="212">
        <f t="shared" si="50"/>
        <v>48.369396321153758</v>
      </c>
      <c r="I394" s="212">
        <f t="shared" si="53"/>
        <v>0.9</v>
      </c>
      <c r="J394" s="212">
        <f>1</f>
        <v>1</v>
      </c>
      <c r="K394" s="212">
        <f t="shared" si="54"/>
        <v>4.1870000000000003</v>
      </c>
      <c r="L394" s="212"/>
      <c r="M394" s="212"/>
      <c r="N394" s="212"/>
      <c r="O394" s="212"/>
      <c r="P394" s="212"/>
      <c r="Q394" s="212"/>
      <c r="R394" s="212"/>
      <c r="S394" s="212"/>
      <c r="T394" s="212"/>
      <c r="U394" s="212"/>
      <c r="V394" s="212"/>
      <c r="W394" s="212"/>
      <c r="X394" s="212"/>
      <c r="Y394" s="212"/>
      <c r="Z394" s="212"/>
      <c r="AA394" s="212"/>
      <c r="AB394" s="212"/>
      <c r="AC394" s="196"/>
      <c r="AD394" s="27"/>
      <c r="AE394" s="213"/>
      <c r="AF394" s="212">
        <f t="shared" si="55"/>
        <v>-2.7684497427848953E-6</v>
      </c>
      <c r="AG394" s="212"/>
      <c r="AH394" s="212"/>
      <c r="AI394" s="212"/>
      <c r="AJ394" s="212"/>
      <c r="AK394" s="212"/>
      <c r="AL394" s="212"/>
      <c r="AM394" s="212"/>
      <c r="AN394" s="212"/>
      <c r="AO394" s="212"/>
      <c r="AP394" s="196"/>
      <c r="AQ394" s="196"/>
      <c r="AR394" s="211"/>
      <c r="AS394" s="212">
        <f t="shared" si="47"/>
        <v>-6.9961947701813193E-8</v>
      </c>
      <c r="AT394" s="212">
        <f>[1]!LIM(AT393+Mode*r0*((1+IntegrationStep/2/Ti+Td/IntegrationStep)*AS394-(1-IntegrationStep/2/Ti+2*Td/IntegrationStep)*AS393+Td/IntegrationStep*AS392))</f>
        <v>0.40307830267628131</v>
      </c>
      <c r="AU394" s="212">
        <f t="shared" si="48"/>
        <v>40.794124671602574</v>
      </c>
      <c r="AW394" s="58"/>
      <c r="AX394" s="58"/>
      <c r="AY394" s="58"/>
      <c r="AZ394" s="58"/>
    </row>
    <row r="395" spans="1:52" s="185" customFormat="1" ht="15" customHeight="1" x14ac:dyDescent="0.25">
      <c r="A395" s="200"/>
      <c r="B395" s="211"/>
      <c r="C395" s="212">
        <f t="shared" si="49"/>
        <v>38.400000000000276</v>
      </c>
      <c r="D395" s="231">
        <f>15+[1]!STEPLOAD(5)</f>
        <v>20</v>
      </c>
      <c r="E395" s="212">
        <f t="shared" si="51"/>
        <v>40.794131390952373</v>
      </c>
      <c r="F395" s="212">
        <f t="shared" si="52"/>
        <v>0.5</v>
      </c>
      <c r="G395" s="212">
        <f>5</f>
        <v>5</v>
      </c>
      <c r="H395" s="212">
        <f t="shared" si="50"/>
        <v>48.369398218365724</v>
      </c>
      <c r="I395" s="212">
        <f t="shared" si="53"/>
        <v>0.9</v>
      </c>
      <c r="J395" s="212">
        <f>1</f>
        <v>1</v>
      </c>
      <c r="K395" s="212">
        <f t="shared" si="54"/>
        <v>4.1870000000000003</v>
      </c>
      <c r="L395" s="212"/>
      <c r="M395" s="212"/>
      <c r="N395" s="212"/>
      <c r="O395" s="212"/>
      <c r="P395" s="212"/>
      <c r="Q395" s="212"/>
      <c r="R395" s="212"/>
      <c r="S395" s="212"/>
      <c r="T395" s="212"/>
      <c r="U395" s="212"/>
      <c r="V395" s="212"/>
      <c r="W395" s="212"/>
      <c r="X395" s="212"/>
      <c r="Y395" s="212"/>
      <c r="Z395" s="212"/>
      <c r="AA395" s="212"/>
      <c r="AB395" s="212"/>
      <c r="AC395" s="196"/>
      <c r="AD395" s="27"/>
      <c r="AE395" s="213"/>
      <c r="AF395" s="212">
        <f t="shared" si="55"/>
        <v>-2.6592037087880271E-6</v>
      </c>
      <c r="AG395" s="212"/>
      <c r="AH395" s="212"/>
      <c r="AI395" s="212"/>
      <c r="AJ395" s="212"/>
      <c r="AK395" s="212"/>
      <c r="AL395" s="212"/>
      <c r="AM395" s="212"/>
      <c r="AN395" s="212"/>
      <c r="AO395" s="212"/>
      <c r="AP395" s="196"/>
      <c r="AQ395" s="196"/>
      <c r="AR395" s="211"/>
      <c r="AS395" s="212">
        <f t="shared" ref="AS395:AS458" si="56">(AU395-E395)/(MeasuredVariableHigher-MeasuredVariableLower)</f>
        <v>-6.7193497983453203E-8</v>
      </c>
      <c r="AT395" s="212">
        <f>[1]!LIM(AT394+Mode*r0*((1+IntegrationStep/2/Ti+Td/IntegrationStep)*AS395-(1-IntegrationStep/2/Ti+2*Td/IntegrationStep)*AS394+Td/IntegrationStep*AS393))</f>
        <v>0.40307831848638104</v>
      </c>
      <c r="AU395" s="212">
        <f t="shared" ref="AU395:AU458" si="57">SetPoint</f>
        <v>40.794124671602574</v>
      </c>
      <c r="AW395" s="58"/>
      <c r="AX395" s="58"/>
      <c r="AY395" s="58"/>
      <c r="AZ395" s="58"/>
    </row>
    <row r="396" spans="1:52" s="185" customFormat="1" ht="15" customHeight="1" x14ac:dyDescent="0.25">
      <c r="A396" s="200"/>
      <c r="B396" s="211"/>
      <c r="C396" s="212">
        <f t="shared" ref="C396:C459" si="58">C395+IntegrationStep</f>
        <v>38.500000000000277</v>
      </c>
      <c r="D396" s="231">
        <f>15+[1]!STEPLOAD(5)</f>
        <v>20</v>
      </c>
      <c r="E396" s="212">
        <f t="shared" si="51"/>
        <v>40.794131125032003</v>
      </c>
      <c r="F396" s="212">
        <f t="shared" si="52"/>
        <v>0.5</v>
      </c>
      <c r="G396" s="212">
        <f>5</f>
        <v>5</v>
      </c>
      <c r="H396" s="212">
        <f t="shared" ref="H396:H459" si="59">ManipulatedVariableHigher*AT396</f>
        <v>48.369400041057062</v>
      </c>
      <c r="I396" s="212">
        <f t="shared" si="53"/>
        <v>0.9</v>
      </c>
      <c r="J396" s="212">
        <f>1</f>
        <v>1</v>
      </c>
      <c r="K396" s="212">
        <f t="shared" si="54"/>
        <v>4.1870000000000003</v>
      </c>
      <c r="L396" s="212"/>
      <c r="M396" s="212"/>
      <c r="N396" s="212"/>
      <c r="O396" s="212"/>
      <c r="P396" s="212"/>
      <c r="Q396" s="212"/>
      <c r="R396" s="212"/>
      <c r="S396" s="212"/>
      <c r="T396" s="212"/>
      <c r="U396" s="212"/>
      <c r="V396" s="212"/>
      <c r="W396" s="212"/>
      <c r="X396" s="212"/>
      <c r="Y396" s="212"/>
      <c r="Z396" s="212"/>
      <c r="AA396" s="212"/>
      <c r="AB396" s="212"/>
      <c r="AC396" s="196"/>
      <c r="AD396" s="27"/>
      <c r="AE396" s="213"/>
      <c r="AF396" s="212">
        <f t="shared" si="55"/>
        <v>-2.5542537924749809E-6</v>
      </c>
      <c r="AG396" s="212"/>
      <c r="AH396" s="212"/>
      <c r="AI396" s="212"/>
      <c r="AJ396" s="212"/>
      <c r="AK396" s="212"/>
      <c r="AL396" s="212"/>
      <c r="AM396" s="212"/>
      <c r="AN396" s="212"/>
      <c r="AO396" s="212"/>
      <c r="AP396" s="196"/>
      <c r="AQ396" s="196"/>
      <c r="AR396" s="211"/>
      <c r="AS396" s="212">
        <f t="shared" si="56"/>
        <v>-6.45342942817706E-8</v>
      </c>
      <c r="AT396" s="212">
        <f>[1]!LIM(AT395+Mode*r0*((1+IntegrationStep/2/Ti+Td/IntegrationStep)*AS396-(1-IntegrationStep/2/Ti+2*Td/IntegrationStep)*AS395+Td/IntegrationStep*AS394))</f>
        <v>0.40307833367547552</v>
      </c>
      <c r="AU396" s="212">
        <f t="shared" si="57"/>
        <v>40.794124671602574</v>
      </c>
      <c r="AW396" s="58"/>
      <c r="AX396" s="58"/>
      <c r="AY396" s="58"/>
      <c r="AZ396" s="58"/>
    </row>
    <row r="397" spans="1:52" s="185" customFormat="1" ht="15" customHeight="1" x14ac:dyDescent="0.25">
      <c r="A397" s="200"/>
      <c r="B397" s="211"/>
      <c r="C397" s="212">
        <f t="shared" si="58"/>
        <v>38.600000000000279</v>
      </c>
      <c r="D397" s="231">
        <f>15+[1]!STEPLOAD(5)</f>
        <v>20</v>
      </c>
      <c r="E397" s="212">
        <f t="shared" ref="E397:E460" si="60">E396+(C397-C396)*AF396</f>
        <v>40.794130869606626</v>
      </c>
      <c r="F397" s="212">
        <f t="shared" ref="F397:F460" si="61">0.5</f>
        <v>0.5</v>
      </c>
      <c r="G397" s="212">
        <f>5</f>
        <v>5</v>
      </c>
      <c r="H397" s="212">
        <f t="shared" si="59"/>
        <v>48.369401792141311</v>
      </c>
      <c r="I397" s="212">
        <f t="shared" ref="I397:I460" si="62">0.9</f>
        <v>0.9</v>
      </c>
      <c r="J397" s="212">
        <f>1</f>
        <v>1</v>
      </c>
      <c r="K397" s="212">
        <f t="shared" ref="K397:K460" si="63">4.187</f>
        <v>4.1870000000000003</v>
      </c>
      <c r="L397" s="212"/>
      <c r="M397" s="212"/>
      <c r="N397" s="212"/>
      <c r="O397" s="212"/>
      <c r="P397" s="212"/>
      <c r="Q397" s="212"/>
      <c r="R397" s="212"/>
      <c r="S397" s="212"/>
      <c r="T397" s="212"/>
      <c r="U397" s="212"/>
      <c r="V397" s="212"/>
      <c r="W397" s="212"/>
      <c r="X397" s="212"/>
      <c r="Y397" s="212"/>
      <c r="Z397" s="212"/>
      <c r="AA397" s="212"/>
      <c r="AB397" s="212"/>
      <c r="AC397" s="196"/>
      <c r="AD397" s="27"/>
      <c r="AE397" s="213"/>
      <c r="AF397" s="212">
        <f t="shared" ref="AF397:AF460" si="64">F397/G397*(D397-E397)+H397*I397/G397/J397/K397</f>
        <v>-2.4534317790703142E-6</v>
      </c>
      <c r="AG397" s="212"/>
      <c r="AH397" s="212"/>
      <c r="AI397" s="212"/>
      <c r="AJ397" s="212"/>
      <c r="AK397" s="212"/>
      <c r="AL397" s="212"/>
      <c r="AM397" s="212"/>
      <c r="AN397" s="212"/>
      <c r="AO397" s="212"/>
      <c r="AP397" s="196"/>
      <c r="AQ397" s="196"/>
      <c r="AR397" s="211"/>
      <c r="AS397" s="212">
        <f t="shared" si="56"/>
        <v>-6.1980040513276439E-8</v>
      </c>
      <c r="AT397" s="212">
        <f>[1]!LIM(AT396+Mode*r0*((1+IntegrationStep/2/Ti+Td/IntegrationStep)*AS397-(1-IntegrationStep/2/Ti+2*Td/IntegrationStep)*AS396+Td/IntegrationStep*AS395))</f>
        <v>0.40307834826784428</v>
      </c>
      <c r="AU397" s="212">
        <f t="shared" si="57"/>
        <v>40.794124671602574</v>
      </c>
      <c r="AW397" s="58"/>
      <c r="AX397" s="58"/>
      <c r="AY397" s="58"/>
      <c r="AZ397" s="58"/>
    </row>
    <row r="398" spans="1:52" s="185" customFormat="1" ht="15" customHeight="1" x14ac:dyDescent="0.25">
      <c r="A398" s="200"/>
      <c r="B398" s="211"/>
      <c r="C398" s="212">
        <f t="shared" si="58"/>
        <v>38.70000000000028</v>
      </c>
      <c r="D398" s="231">
        <f>15+[1]!STEPLOAD(5)</f>
        <v>20</v>
      </c>
      <c r="E398" s="212">
        <f t="shared" si="60"/>
        <v>40.794130624263445</v>
      </c>
      <c r="F398" s="212">
        <f t="shared" si="61"/>
        <v>0.5</v>
      </c>
      <c r="G398" s="212">
        <f>5</f>
        <v>5</v>
      </c>
      <c r="H398" s="212">
        <f t="shared" si="59"/>
        <v>48.369403474418952</v>
      </c>
      <c r="I398" s="212">
        <f t="shared" si="62"/>
        <v>0.9</v>
      </c>
      <c r="J398" s="212">
        <f>1</f>
        <v>1</v>
      </c>
      <c r="K398" s="212">
        <f t="shared" si="63"/>
        <v>4.1870000000000003</v>
      </c>
      <c r="L398" s="212"/>
      <c r="M398" s="212"/>
      <c r="N398" s="212"/>
      <c r="O398" s="212"/>
      <c r="P398" s="212"/>
      <c r="Q398" s="212"/>
      <c r="R398" s="212"/>
      <c r="S398" s="212"/>
      <c r="T398" s="212"/>
      <c r="U398" s="212"/>
      <c r="V398" s="212"/>
      <c r="W398" s="212"/>
      <c r="X398" s="212"/>
      <c r="Y398" s="212"/>
      <c r="Z398" s="212"/>
      <c r="AA398" s="212"/>
      <c r="AB398" s="212"/>
      <c r="AC398" s="196"/>
      <c r="AD398" s="27"/>
      <c r="AE398" s="213"/>
      <c r="AF398" s="212">
        <f t="shared" si="64"/>
        <v>-2.3565759961208244E-6</v>
      </c>
      <c r="AG398" s="212"/>
      <c r="AH398" s="212"/>
      <c r="AI398" s="212"/>
      <c r="AJ398" s="212"/>
      <c r="AK398" s="212"/>
      <c r="AL398" s="212"/>
      <c r="AM398" s="212"/>
      <c r="AN398" s="212"/>
      <c r="AO398" s="212"/>
      <c r="AP398" s="196"/>
      <c r="AQ398" s="196"/>
      <c r="AR398" s="211"/>
      <c r="AS398" s="212">
        <f t="shared" si="56"/>
        <v>-5.9526608708893039E-8</v>
      </c>
      <c r="AT398" s="212">
        <f>[1]!LIM(AT397+Mode*r0*((1+IntegrationStep/2/Ti+Td/IntegrationStep)*AS398-(1-IntegrationStep/2/Ti+2*Td/IntegrationStep)*AS397+Td/IntegrationStep*AS396))</f>
        <v>0.40307836228682459</v>
      </c>
      <c r="AU398" s="212">
        <f t="shared" si="57"/>
        <v>40.794124671602574</v>
      </c>
      <c r="AW398" s="58"/>
      <c r="AX398" s="58"/>
      <c r="AY398" s="58"/>
      <c r="AZ398" s="58"/>
    </row>
    <row r="399" spans="1:52" s="185" customFormat="1" ht="15" customHeight="1" x14ac:dyDescent="0.25">
      <c r="A399" s="200"/>
      <c r="B399" s="211"/>
      <c r="C399" s="212">
        <f t="shared" si="58"/>
        <v>38.800000000000281</v>
      </c>
      <c r="D399" s="231">
        <f>15+[1]!STEPLOAD(5)</f>
        <v>20</v>
      </c>
      <c r="E399" s="212">
        <f t="shared" si="60"/>
        <v>40.794130388605844</v>
      </c>
      <c r="F399" s="212">
        <f t="shared" si="61"/>
        <v>0.5</v>
      </c>
      <c r="G399" s="212">
        <f>5</f>
        <v>5</v>
      </c>
      <c r="H399" s="212">
        <f t="shared" si="59"/>
        <v>48.369405090581353</v>
      </c>
      <c r="I399" s="212">
        <f t="shared" si="62"/>
        <v>0.9</v>
      </c>
      <c r="J399" s="212">
        <f>1</f>
        <v>1</v>
      </c>
      <c r="K399" s="212">
        <f t="shared" si="63"/>
        <v>4.1870000000000003</v>
      </c>
      <c r="L399" s="212"/>
      <c r="M399" s="212"/>
      <c r="N399" s="212"/>
      <c r="O399" s="212"/>
      <c r="P399" s="212"/>
      <c r="Q399" s="212"/>
      <c r="R399" s="212"/>
      <c r="S399" s="212"/>
      <c r="T399" s="212"/>
      <c r="U399" s="212"/>
      <c r="V399" s="212"/>
      <c r="W399" s="212"/>
      <c r="X399" s="212"/>
      <c r="Y399" s="212"/>
      <c r="Z399" s="212"/>
      <c r="AA399" s="212"/>
      <c r="AB399" s="212"/>
      <c r="AC399" s="196"/>
      <c r="AD399" s="27"/>
      <c r="AE399" s="213"/>
      <c r="AF399" s="212">
        <f t="shared" si="64"/>
        <v>-2.2635310781282669E-6</v>
      </c>
      <c r="AG399" s="212"/>
      <c r="AH399" s="212"/>
      <c r="AI399" s="212"/>
      <c r="AJ399" s="212"/>
      <c r="AK399" s="212"/>
      <c r="AL399" s="212"/>
      <c r="AM399" s="212"/>
      <c r="AN399" s="212"/>
      <c r="AO399" s="212"/>
      <c r="AP399" s="196"/>
      <c r="AQ399" s="196"/>
      <c r="AR399" s="211"/>
      <c r="AS399" s="212">
        <f t="shared" si="56"/>
        <v>-5.7170032690123659E-8</v>
      </c>
      <c r="AT399" s="212">
        <f>[1]!LIM(AT398+Mode*r0*((1+IntegrationStep/2/Ti+Td/IntegrationStep)*AS399-(1-IntegrationStep/2/Ti+2*Td/IntegrationStep)*AS398+Td/IntegrationStep*AS397))</f>
        <v>0.40307837575484462</v>
      </c>
      <c r="AU399" s="212">
        <f t="shared" si="57"/>
        <v>40.794124671602574</v>
      </c>
      <c r="AW399" s="58"/>
      <c r="AX399" s="58"/>
      <c r="AY399" s="58"/>
      <c r="AZ399" s="58"/>
    </row>
    <row r="400" spans="1:52" s="185" customFormat="1" ht="15" customHeight="1" x14ac:dyDescent="0.25">
      <c r="A400" s="200"/>
      <c r="B400" s="211"/>
      <c r="C400" s="212">
        <f t="shared" si="58"/>
        <v>38.900000000000283</v>
      </c>
      <c r="D400" s="231">
        <f>15+[1]!STEPLOAD(5)</f>
        <v>20</v>
      </c>
      <c r="E400" s="212">
        <f t="shared" si="60"/>
        <v>40.794130162252735</v>
      </c>
      <c r="F400" s="212">
        <f t="shared" si="61"/>
        <v>0.5</v>
      </c>
      <c r="G400" s="212">
        <f>5</f>
        <v>5</v>
      </c>
      <c r="H400" s="212">
        <f t="shared" si="59"/>
        <v>48.369406643215292</v>
      </c>
      <c r="I400" s="212">
        <f t="shared" si="62"/>
        <v>0.9</v>
      </c>
      <c r="J400" s="212">
        <f>1</f>
        <v>1</v>
      </c>
      <c r="K400" s="212">
        <f t="shared" si="63"/>
        <v>4.1870000000000003</v>
      </c>
      <c r="L400" s="212"/>
      <c r="M400" s="212"/>
      <c r="N400" s="212"/>
      <c r="O400" s="212"/>
      <c r="P400" s="212"/>
      <c r="Q400" s="212"/>
      <c r="R400" s="212"/>
      <c r="S400" s="212"/>
      <c r="T400" s="212"/>
      <c r="U400" s="212"/>
      <c r="V400" s="212"/>
      <c r="W400" s="212"/>
      <c r="X400" s="212"/>
      <c r="Y400" s="212"/>
      <c r="Z400" s="212"/>
      <c r="AA400" s="212"/>
      <c r="AB400" s="212"/>
      <c r="AC400" s="196"/>
      <c r="AD400" s="27"/>
      <c r="AE400" s="213"/>
      <c r="AF400" s="212">
        <f t="shared" si="64"/>
        <v>-2.1741477120862385E-6</v>
      </c>
      <c r="AG400" s="212"/>
      <c r="AH400" s="212"/>
      <c r="AI400" s="212"/>
      <c r="AJ400" s="212"/>
      <c r="AK400" s="212"/>
      <c r="AL400" s="212"/>
      <c r="AM400" s="212"/>
      <c r="AN400" s="212"/>
      <c r="AO400" s="212"/>
      <c r="AP400" s="196"/>
      <c r="AQ400" s="196"/>
      <c r="AR400" s="211"/>
      <c r="AS400" s="212">
        <f t="shared" si="56"/>
        <v>-5.490650160311361E-8</v>
      </c>
      <c r="AT400" s="212">
        <f>[1]!LIM(AT399+Mode*r0*((1+IntegrationStep/2/Ti+Td/IntegrationStep)*AS400-(1-IntegrationStep/2/Ti+2*Td/IntegrationStep)*AS399+Td/IntegrationStep*AS398))</f>
        <v>0.40307838869346074</v>
      </c>
      <c r="AU400" s="212">
        <f t="shared" si="57"/>
        <v>40.794124671602574</v>
      </c>
      <c r="AW400" s="58"/>
      <c r="AX400" s="58"/>
      <c r="AY400" s="58"/>
      <c r="AZ400" s="58"/>
    </row>
    <row r="401" spans="1:52" s="185" customFormat="1" ht="15" customHeight="1" x14ac:dyDescent="0.25">
      <c r="A401" s="200"/>
      <c r="B401" s="211"/>
      <c r="C401" s="212">
        <f t="shared" si="58"/>
        <v>39.000000000000284</v>
      </c>
      <c r="D401" s="231">
        <f>15+[1]!STEPLOAD(5)</f>
        <v>20</v>
      </c>
      <c r="E401" s="212">
        <f t="shared" si="60"/>
        <v>40.794129944837962</v>
      </c>
      <c r="F401" s="212">
        <f t="shared" si="61"/>
        <v>0.5</v>
      </c>
      <c r="G401" s="212">
        <f>5</f>
        <v>5</v>
      </c>
      <c r="H401" s="212">
        <f t="shared" si="59"/>
        <v>48.369408134806946</v>
      </c>
      <c r="I401" s="212">
        <f t="shared" si="62"/>
        <v>0.9</v>
      </c>
      <c r="J401" s="212">
        <f>1</f>
        <v>1</v>
      </c>
      <c r="K401" s="212">
        <f t="shared" si="63"/>
        <v>4.1870000000000003</v>
      </c>
      <c r="L401" s="212"/>
      <c r="M401" s="212"/>
      <c r="N401" s="212"/>
      <c r="O401" s="212"/>
      <c r="P401" s="212"/>
      <c r="Q401" s="212"/>
      <c r="R401" s="212"/>
      <c r="S401" s="212"/>
      <c r="T401" s="212"/>
      <c r="U401" s="212"/>
      <c r="V401" s="212"/>
      <c r="W401" s="212"/>
      <c r="X401" s="212"/>
      <c r="Y401" s="212"/>
      <c r="Z401" s="212"/>
      <c r="AA401" s="212"/>
      <c r="AB401" s="212"/>
      <c r="AC401" s="196"/>
      <c r="AD401" s="27"/>
      <c r="AE401" s="213"/>
      <c r="AF401" s="212">
        <f t="shared" si="64"/>
        <v>-2.0882823990042709E-6</v>
      </c>
      <c r="AG401" s="212"/>
      <c r="AH401" s="212"/>
      <c r="AI401" s="212"/>
      <c r="AJ401" s="212"/>
      <c r="AK401" s="212"/>
      <c r="AL401" s="212"/>
      <c r="AM401" s="212"/>
      <c r="AN401" s="212"/>
      <c r="AO401" s="212"/>
      <c r="AP401" s="196"/>
      <c r="AQ401" s="196"/>
      <c r="AR401" s="211"/>
      <c r="AS401" s="212">
        <f t="shared" si="56"/>
        <v>-5.2732353879036964E-8</v>
      </c>
      <c r="AT401" s="212">
        <f>[1]!LIM(AT400+Mode*r0*((1+IntegrationStep/2/Ti+Td/IntegrationStep)*AS401-(1-IntegrationStep/2/Ti+2*Td/IntegrationStep)*AS400+Td/IntegrationStep*AS399))</f>
        <v>0.40307840112339122</v>
      </c>
      <c r="AU401" s="212">
        <f t="shared" si="57"/>
        <v>40.794124671602574</v>
      </c>
      <c r="AW401" s="58"/>
      <c r="AX401" s="58"/>
      <c r="AY401" s="58"/>
      <c r="AZ401" s="58"/>
    </row>
    <row r="402" spans="1:52" s="185" customFormat="1" ht="15" customHeight="1" x14ac:dyDescent="0.25">
      <c r="A402" s="200"/>
      <c r="B402" s="211"/>
      <c r="C402" s="212">
        <f t="shared" si="58"/>
        <v>39.100000000000286</v>
      </c>
      <c r="D402" s="231">
        <f>15+[1]!STEPLOAD(5)</f>
        <v>20</v>
      </c>
      <c r="E402" s="212">
        <f t="shared" si="60"/>
        <v>40.794129736009722</v>
      </c>
      <c r="F402" s="212">
        <f t="shared" si="61"/>
        <v>0.5</v>
      </c>
      <c r="G402" s="212">
        <f>5</f>
        <v>5</v>
      </c>
      <c r="H402" s="212">
        <f t="shared" si="59"/>
        <v>48.369409567745691</v>
      </c>
      <c r="I402" s="212">
        <f t="shared" si="62"/>
        <v>0.9</v>
      </c>
      <c r="J402" s="212">
        <f>1</f>
        <v>1</v>
      </c>
      <c r="K402" s="212">
        <f t="shared" si="63"/>
        <v>4.1870000000000003</v>
      </c>
      <c r="L402" s="212"/>
      <c r="M402" s="212"/>
      <c r="N402" s="212"/>
      <c r="O402" s="212"/>
      <c r="P402" s="212"/>
      <c r="Q402" s="212"/>
      <c r="R402" s="212"/>
      <c r="S402" s="212"/>
      <c r="T402" s="212"/>
      <c r="U402" s="212"/>
      <c r="V402" s="212"/>
      <c r="W402" s="212"/>
      <c r="X402" s="212"/>
      <c r="Y402" s="212"/>
      <c r="Z402" s="212"/>
      <c r="AA402" s="212"/>
      <c r="AB402" s="212"/>
      <c r="AC402" s="196"/>
      <c r="AD402" s="27"/>
      <c r="AE402" s="213"/>
      <c r="AF402" s="212">
        <f t="shared" si="64"/>
        <v>-2.0057972407450109E-6</v>
      </c>
      <c r="AG402" s="212"/>
      <c r="AH402" s="212"/>
      <c r="AI402" s="212"/>
      <c r="AJ402" s="212"/>
      <c r="AK402" s="212"/>
      <c r="AL402" s="212"/>
      <c r="AM402" s="212"/>
      <c r="AN402" s="212"/>
      <c r="AO402" s="212"/>
      <c r="AP402" s="196"/>
      <c r="AQ402" s="196"/>
      <c r="AR402" s="211"/>
      <c r="AS402" s="212">
        <f t="shared" si="56"/>
        <v>-5.0644071478700425E-8</v>
      </c>
      <c r="AT402" s="212">
        <f>[1]!LIM(AT401+Mode*r0*((1+IntegrationStep/2/Ti+Td/IntegrationStep)*AS402-(1-IntegrationStep/2/Ti+2*Td/IntegrationStep)*AS401+Td/IntegrationStep*AS400))</f>
        <v>0.40307841306454745</v>
      </c>
      <c r="AU402" s="212">
        <f t="shared" si="57"/>
        <v>40.794124671602574</v>
      </c>
      <c r="AW402" s="58"/>
      <c r="AX402" s="58"/>
      <c r="AY402" s="58"/>
      <c r="AZ402" s="58"/>
    </row>
    <row r="403" spans="1:52" s="185" customFormat="1" ht="15" customHeight="1" x14ac:dyDescent="0.25">
      <c r="A403" s="200"/>
      <c r="B403" s="211"/>
      <c r="C403" s="212">
        <f t="shared" si="58"/>
        <v>39.200000000000287</v>
      </c>
      <c r="D403" s="231">
        <f>15+[1]!STEPLOAD(5)</f>
        <v>20</v>
      </c>
      <c r="E403" s="212">
        <f t="shared" si="60"/>
        <v>40.794129535429995</v>
      </c>
      <c r="F403" s="212">
        <f t="shared" si="61"/>
        <v>0.5</v>
      </c>
      <c r="G403" s="212">
        <f>5</f>
        <v>5</v>
      </c>
      <c r="H403" s="212">
        <f t="shared" si="59"/>
        <v>48.369410944328003</v>
      </c>
      <c r="I403" s="212">
        <f t="shared" si="62"/>
        <v>0.9</v>
      </c>
      <c r="J403" s="212">
        <f>1</f>
        <v>1</v>
      </c>
      <c r="K403" s="212">
        <f t="shared" si="63"/>
        <v>4.1870000000000003</v>
      </c>
      <c r="L403" s="212"/>
      <c r="M403" s="212"/>
      <c r="N403" s="212"/>
      <c r="O403" s="212"/>
      <c r="P403" s="212"/>
      <c r="Q403" s="212"/>
      <c r="R403" s="212"/>
      <c r="S403" s="212"/>
      <c r="T403" s="212"/>
      <c r="U403" s="212"/>
      <c r="V403" s="212"/>
      <c r="W403" s="212"/>
      <c r="X403" s="212"/>
      <c r="Y403" s="212"/>
      <c r="Z403" s="212"/>
      <c r="AA403" s="212"/>
      <c r="AB403" s="212"/>
      <c r="AC403" s="196"/>
      <c r="AD403" s="27"/>
      <c r="AE403" s="213"/>
      <c r="AF403" s="212">
        <f t="shared" si="64"/>
        <v>-1.9265597086537412E-6</v>
      </c>
      <c r="AG403" s="212"/>
      <c r="AH403" s="212"/>
      <c r="AI403" s="212"/>
      <c r="AJ403" s="212"/>
      <c r="AK403" s="212"/>
      <c r="AL403" s="212"/>
      <c r="AM403" s="212"/>
      <c r="AN403" s="212"/>
      <c r="AO403" s="212"/>
      <c r="AP403" s="196"/>
      <c r="AQ403" s="196"/>
      <c r="AR403" s="211"/>
      <c r="AS403" s="212">
        <f t="shared" si="56"/>
        <v>-4.8638274208201436E-8</v>
      </c>
      <c r="AT403" s="212">
        <f>[1]!LIM(AT402+Mode*r0*((1+IntegrationStep/2/Ti+Td/IntegrationStep)*AS403-(1-IntegrationStep/2/Ti+2*Td/IntegrationStep)*AS402+Td/IntegrationStep*AS401))</f>
        <v>0.40307842453606668</v>
      </c>
      <c r="AU403" s="212">
        <f t="shared" si="57"/>
        <v>40.794124671602574</v>
      </c>
      <c r="AW403" s="58"/>
      <c r="AX403" s="58"/>
      <c r="AY403" s="58"/>
      <c r="AZ403" s="58"/>
    </row>
    <row r="404" spans="1:52" s="185" customFormat="1" ht="15" customHeight="1" x14ac:dyDescent="0.25">
      <c r="A404" s="200"/>
      <c r="B404" s="211"/>
      <c r="C404" s="212">
        <f t="shared" si="58"/>
        <v>39.300000000000288</v>
      </c>
      <c r="D404" s="231">
        <f>15+[1]!STEPLOAD(5)</f>
        <v>20</v>
      </c>
      <c r="E404" s="212">
        <f t="shared" si="60"/>
        <v>40.794129342774028</v>
      </c>
      <c r="F404" s="212">
        <f t="shared" si="61"/>
        <v>0.5</v>
      </c>
      <c r="G404" s="212">
        <f>5</f>
        <v>5</v>
      </c>
      <c r="H404" s="212">
        <f t="shared" si="59"/>
        <v>48.369412266760669</v>
      </c>
      <c r="I404" s="212">
        <f t="shared" si="62"/>
        <v>0.9</v>
      </c>
      <c r="J404" s="212">
        <f>1</f>
        <v>1</v>
      </c>
      <c r="K404" s="212">
        <f t="shared" si="63"/>
        <v>4.1870000000000003</v>
      </c>
      <c r="L404" s="212"/>
      <c r="M404" s="212"/>
      <c r="N404" s="212"/>
      <c r="O404" s="212"/>
      <c r="P404" s="212"/>
      <c r="Q404" s="212"/>
      <c r="R404" s="212"/>
      <c r="S404" s="212"/>
      <c r="T404" s="212"/>
      <c r="U404" s="212"/>
      <c r="V404" s="212"/>
      <c r="W404" s="212"/>
      <c r="X404" s="212"/>
      <c r="Y404" s="212"/>
      <c r="Z404" s="212"/>
      <c r="AA404" s="212"/>
      <c r="AB404" s="212"/>
      <c r="AC404" s="196"/>
      <c r="AD404" s="27"/>
      <c r="AE404" s="213"/>
      <c r="AF404" s="212">
        <f t="shared" si="64"/>
        <v>-1.8504424570409128E-6</v>
      </c>
      <c r="AG404" s="212"/>
      <c r="AH404" s="212"/>
      <c r="AI404" s="212"/>
      <c r="AJ404" s="212"/>
      <c r="AK404" s="212"/>
      <c r="AL404" s="212"/>
      <c r="AM404" s="212"/>
      <c r="AN404" s="212"/>
      <c r="AO404" s="212"/>
      <c r="AP404" s="196"/>
      <c r="AQ404" s="196"/>
      <c r="AR404" s="211"/>
      <c r="AS404" s="212">
        <f t="shared" si="56"/>
        <v>-4.6711714531966208E-8</v>
      </c>
      <c r="AT404" s="212">
        <f>[1]!LIM(AT403+Mode*r0*((1+IntegrationStep/2/Ti+Td/IntegrationStep)*AS404-(1-IntegrationStep/2/Ti+2*Td/IntegrationStep)*AS403+Td/IntegrationStep*AS402))</f>
        <v>0.40307843555633893</v>
      </c>
      <c r="AU404" s="212">
        <f t="shared" si="57"/>
        <v>40.794124671602574</v>
      </c>
      <c r="AW404" s="58"/>
      <c r="AX404" s="58"/>
      <c r="AY404" s="58"/>
      <c r="AZ404" s="58"/>
    </row>
    <row r="405" spans="1:52" s="185" customFormat="1" ht="15" customHeight="1" x14ac:dyDescent="0.25">
      <c r="A405" s="200"/>
      <c r="B405" s="211"/>
      <c r="C405" s="212">
        <f t="shared" si="58"/>
        <v>39.40000000000029</v>
      </c>
      <c r="D405" s="231">
        <f>15+[1]!STEPLOAD(5)</f>
        <v>20</v>
      </c>
      <c r="E405" s="212">
        <f t="shared" si="60"/>
        <v>40.794129157729785</v>
      </c>
      <c r="F405" s="212">
        <f t="shared" si="61"/>
        <v>0.5</v>
      </c>
      <c r="G405" s="212">
        <f>5</f>
        <v>5</v>
      </c>
      <c r="H405" s="212">
        <f t="shared" si="59"/>
        <v>48.369413537164846</v>
      </c>
      <c r="I405" s="212">
        <f t="shared" si="62"/>
        <v>0.9</v>
      </c>
      <c r="J405" s="212">
        <f>1</f>
        <v>1</v>
      </c>
      <c r="K405" s="212">
        <f t="shared" si="63"/>
        <v>4.1870000000000003</v>
      </c>
      <c r="L405" s="212"/>
      <c r="M405" s="212"/>
      <c r="N405" s="212"/>
      <c r="O405" s="212"/>
      <c r="P405" s="212"/>
      <c r="Q405" s="212"/>
      <c r="R405" s="212"/>
      <c r="S405" s="212"/>
      <c r="T405" s="212"/>
      <c r="U405" s="212"/>
      <c r="V405" s="212"/>
      <c r="W405" s="212"/>
      <c r="X405" s="212"/>
      <c r="Y405" s="212"/>
      <c r="Z405" s="212"/>
      <c r="AA405" s="212"/>
      <c r="AB405" s="212"/>
      <c r="AC405" s="196"/>
      <c r="AD405" s="27"/>
      <c r="AE405" s="213"/>
      <c r="AF405" s="212">
        <f t="shared" si="64"/>
        <v>-1.7773230926998451E-6</v>
      </c>
      <c r="AG405" s="212"/>
      <c r="AH405" s="212"/>
      <c r="AI405" s="212"/>
      <c r="AJ405" s="212"/>
      <c r="AK405" s="212"/>
      <c r="AL405" s="212"/>
      <c r="AM405" s="212"/>
      <c r="AN405" s="212"/>
      <c r="AO405" s="212"/>
      <c r="AP405" s="196"/>
      <c r="AQ405" s="196"/>
      <c r="AR405" s="211"/>
      <c r="AS405" s="212">
        <f t="shared" si="56"/>
        <v>-4.4861272101570647E-8</v>
      </c>
      <c r="AT405" s="212">
        <f>[1]!LIM(AT404+Mode*r0*((1+IntegrationStep/2/Ti+Td/IntegrationStep)*AS405-(1-IntegrationStep/2/Ti+2*Td/IntegrationStep)*AS404+Td/IntegrationStep*AS403))</f>
        <v>0.40307844614304039</v>
      </c>
      <c r="AU405" s="212">
        <f t="shared" si="57"/>
        <v>40.794124671602574</v>
      </c>
      <c r="AW405" s="58"/>
      <c r="AX405" s="58"/>
      <c r="AY405" s="58"/>
      <c r="AZ405" s="58"/>
    </row>
    <row r="406" spans="1:52" s="185" customFormat="1" ht="15" customHeight="1" x14ac:dyDescent="0.25">
      <c r="A406" s="200"/>
      <c r="B406" s="211"/>
      <c r="C406" s="212">
        <f t="shared" si="58"/>
        <v>39.500000000000291</v>
      </c>
      <c r="D406" s="231">
        <f>15+[1]!STEPLOAD(5)</f>
        <v>20</v>
      </c>
      <c r="E406" s="212">
        <f t="shared" si="60"/>
        <v>40.794128979997474</v>
      </c>
      <c r="F406" s="212">
        <f t="shared" si="61"/>
        <v>0.5</v>
      </c>
      <c r="G406" s="212">
        <f>5</f>
        <v>5</v>
      </c>
      <c r="H406" s="212">
        <f t="shared" si="59"/>
        <v>48.369414757578966</v>
      </c>
      <c r="I406" s="212">
        <f t="shared" si="62"/>
        <v>0.9</v>
      </c>
      <c r="J406" s="212">
        <f>1</f>
        <v>1</v>
      </c>
      <c r="K406" s="212">
        <f t="shared" si="63"/>
        <v>4.1870000000000003</v>
      </c>
      <c r="L406" s="212"/>
      <c r="M406" s="212"/>
      <c r="N406" s="212"/>
      <c r="O406" s="212"/>
      <c r="P406" s="212"/>
      <c r="Q406" s="212"/>
      <c r="R406" s="212"/>
      <c r="S406" s="212"/>
      <c r="T406" s="212"/>
      <c r="U406" s="212"/>
      <c r="V406" s="212"/>
      <c r="W406" s="212"/>
      <c r="X406" s="212"/>
      <c r="Y406" s="212"/>
      <c r="Z406" s="212"/>
      <c r="AA406" s="212"/>
      <c r="AB406" s="212"/>
      <c r="AC406" s="196"/>
      <c r="AD406" s="27"/>
      <c r="AE406" s="213"/>
      <c r="AF406" s="212">
        <f t="shared" si="64"/>
        <v>-1.7070840052646474E-6</v>
      </c>
      <c r="AG406" s="212"/>
      <c r="AH406" s="212"/>
      <c r="AI406" s="212"/>
      <c r="AJ406" s="212"/>
      <c r="AK406" s="212"/>
      <c r="AL406" s="212"/>
      <c r="AM406" s="212"/>
      <c r="AN406" s="212"/>
      <c r="AO406" s="212"/>
      <c r="AP406" s="196"/>
      <c r="AQ406" s="196"/>
      <c r="AR406" s="211"/>
      <c r="AS406" s="212">
        <f t="shared" si="56"/>
        <v>-4.3083948995104035E-8</v>
      </c>
      <c r="AT406" s="212">
        <f>[1]!LIM(AT405+Mode*r0*((1+IntegrationStep/2/Ti+Td/IntegrationStep)*AS406-(1-IntegrationStep/2/Ti+2*Td/IntegrationStep)*AS405+Td/IntegrationStep*AS404))</f>
        <v>0.40307845631315803</v>
      </c>
      <c r="AU406" s="212">
        <f t="shared" si="57"/>
        <v>40.794124671602574</v>
      </c>
      <c r="AW406" s="58"/>
      <c r="AX406" s="58"/>
      <c r="AY406" s="58"/>
      <c r="AZ406" s="58"/>
    </row>
    <row r="407" spans="1:52" s="185" customFormat="1" ht="15" customHeight="1" x14ac:dyDescent="0.25">
      <c r="A407" s="200"/>
      <c r="B407" s="211"/>
      <c r="C407" s="212">
        <f t="shared" si="58"/>
        <v>39.600000000000293</v>
      </c>
      <c r="D407" s="231">
        <f>15+[1]!STEPLOAD(5)</f>
        <v>20</v>
      </c>
      <c r="E407" s="212">
        <f t="shared" si="60"/>
        <v>40.79412880928907</v>
      </c>
      <c r="F407" s="212">
        <f t="shared" si="61"/>
        <v>0.5</v>
      </c>
      <c r="G407" s="212">
        <f>5</f>
        <v>5</v>
      </c>
      <c r="H407" s="212">
        <f t="shared" si="59"/>
        <v>48.369415929961917</v>
      </c>
      <c r="I407" s="212">
        <f t="shared" si="62"/>
        <v>0.9</v>
      </c>
      <c r="J407" s="212">
        <f>1</f>
        <v>1</v>
      </c>
      <c r="K407" s="212">
        <f t="shared" si="63"/>
        <v>4.1870000000000003</v>
      </c>
      <c r="L407" s="212"/>
      <c r="M407" s="212"/>
      <c r="N407" s="212"/>
      <c r="O407" s="212"/>
      <c r="P407" s="212"/>
      <c r="Q407" s="212"/>
      <c r="R407" s="212"/>
      <c r="S407" s="212"/>
      <c r="T407" s="212"/>
      <c r="U407" s="212"/>
      <c r="V407" s="212"/>
      <c r="W407" s="212"/>
      <c r="X407" s="212"/>
      <c r="Y407" s="212"/>
      <c r="Z407" s="212"/>
      <c r="AA407" s="212"/>
      <c r="AB407" s="212"/>
      <c r="AC407" s="196"/>
      <c r="AD407" s="27"/>
      <c r="AE407" s="213"/>
      <c r="AF407" s="212">
        <f t="shared" si="64"/>
        <v>-1.6396121780282158E-6</v>
      </c>
      <c r="AG407" s="212"/>
      <c r="AH407" s="212"/>
      <c r="AI407" s="212"/>
      <c r="AJ407" s="212"/>
      <c r="AK407" s="212"/>
      <c r="AL407" s="212"/>
      <c r="AM407" s="212"/>
      <c r="AN407" s="212"/>
      <c r="AO407" s="212"/>
      <c r="AP407" s="196"/>
      <c r="AQ407" s="196"/>
      <c r="AR407" s="211"/>
      <c r="AS407" s="212">
        <f t="shared" si="56"/>
        <v>-4.1376864956532698E-8</v>
      </c>
      <c r="AT407" s="212">
        <f>[1]!LIM(AT406+Mode*r0*((1+IntegrationStep/2/Ti+Td/IntegrationStep)*AS407-(1-IntegrationStep/2/Ti+2*Td/IntegrationStep)*AS406+Td/IntegrationStep*AS405))</f>
        <v>0.40307846608301601</v>
      </c>
      <c r="AU407" s="212">
        <f t="shared" si="57"/>
        <v>40.794124671602574</v>
      </c>
      <c r="AW407" s="58"/>
      <c r="AX407" s="58"/>
      <c r="AY407" s="58"/>
      <c r="AZ407" s="58"/>
    </row>
    <row r="408" spans="1:52" s="185" customFormat="1" ht="15" customHeight="1" x14ac:dyDescent="0.25">
      <c r="A408" s="200"/>
      <c r="B408" s="211"/>
      <c r="C408" s="212">
        <f t="shared" si="58"/>
        <v>39.700000000000294</v>
      </c>
      <c r="D408" s="231">
        <f>15+[1]!STEPLOAD(5)</f>
        <v>20</v>
      </c>
      <c r="E408" s="212">
        <f t="shared" si="60"/>
        <v>40.794128645327852</v>
      </c>
      <c r="F408" s="212">
        <f t="shared" si="61"/>
        <v>0.5</v>
      </c>
      <c r="G408" s="212">
        <f>5</f>
        <v>5</v>
      </c>
      <c r="H408" s="212">
        <f t="shared" si="59"/>
        <v>48.369417056196191</v>
      </c>
      <c r="I408" s="212">
        <f t="shared" si="62"/>
        <v>0.9</v>
      </c>
      <c r="J408" s="212">
        <f>1</f>
        <v>1</v>
      </c>
      <c r="K408" s="212">
        <f t="shared" si="63"/>
        <v>4.1870000000000003</v>
      </c>
      <c r="L408" s="212"/>
      <c r="M408" s="212"/>
      <c r="N408" s="212"/>
      <c r="O408" s="212"/>
      <c r="P408" s="212"/>
      <c r="Q408" s="212"/>
      <c r="R408" s="212"/>
      <c r="S408" s="212"/>
      <c r="T408" s="212"/>
      <c r="U408" s="212"/>
      <c r="V408" s="212"/>
      <c r="W408" s="212"/>
      <c r="X408" s="212"/>
      <c r="Y408" s="212"/>
      <c r="Z408" s="212"/>
      <c r="AA408" s="212"/>
      <c r="AB408" s="212"/>
      <c r="AC408" s="196"/>
      <c r="AD408" s="27"/>
      <c r="AE408" s="213"/>
      <c r="AF408" s="212">
        <f t="shared" si="64"/>
        <v>-1.5747990107506382E-6</v>
      </c>
      <c r="AG408" s="212"/>
      <c r="AH408" s="212"/>
      <c r="AI408" s="212"/>
      <c r="AJ408" s="212"/>
      <c r="AK408" s="212"/>
      <c r="AL408" s="212"/>
      <c r="AM408" s="212"/>
      <c r="AN408" s="212"/>
      <c r="AO408" s="212"/>
      <c r="AP408" s="196"/>
      <c r="AQ408" s="196"/>
      <c r="AR408" s="211"/>
      <c r="AS408" s="212">
        <f t="shared" si="56"/>
        <v>-3.9737252777172219E-8</v>
      </c>
      <c r="AT408" s="212">
        <f>[1]!LIM(AT407+Mode*r0*((1+IntegrationStep/2/Ti+Td/IntegrationStep)*AS408-(1-IntegrationStep/2/Ti+2*Td/IntegrationStep)*AS407+Td/IntegrationStep*AS406))</f>
        <v>0.40307847546830161</v>
      </c>
      <c r="AU408" s="212">
        <f t="shared" si="57"/>
        <v>40.794124671602574</v>
      </c>
      <c r="AW408" s="58"/>
      <c r="AX408" s="58"/>
      <c r="AY408" s="58"/>
      <c r="AZ408" s="58"/>
    </row>
    <row r="409" spans="1:52" s="185" customFormat="1" ht="15" customHeight="1" x14ac:dyDescent="0.25">
      <c r="A409" s="200"/>
      <c r="B409" s="211"/>
      <c r="C409" s="212">
        <f t="shared" si="58"/>
        <v>39.800000000000296</v>
      </c>
      <c r="D409" s="231">
        <f>15+[1]!STEPLOAD(5)</f>
        <v>20</v>
      </c>
      <c r="E409" s="212">
        <f t="shared" si="60"/>
        <v>40.794128487847949</v>
      </c>
      <c r="F409" s="212">
        <f t="shared" si="61"/>
        <v>0.5</v>
      </c>
      <c r="G409" s="212">
        <f>5</f>
        <v>5</v>
      </c>
      <c r="H409" s="212">
        <f t="shared" si="59"/>
        <v>48.369418138091049</v>
      </c>
      <c r="I409" s="212">
        <f t="shared" si="62"/>
        <v>0.9</v>
      </c>
      <c r="J409" s="212">
        <f>1</f>
        <v>1</v>
      </c>
      <c r="K409" s="212">
        <f t="shared" si="63"/>
        <v>4.1870000000000003</v>
      </c>
      <c r="L409" s="212"/>
      <c r="M409" s="212"/>
      <c r="N409" s="212"/>
      <c r="O409" s="212"/>
      <c r="P409" s="212"/>
      <c r="Q409" s="212"/>
      <c r="R409" s="212"/>
      <c r="S409" s="212"/>
      <c r="T409" s="212"/>
      <c r="U409" s="212"/>
      <c r="V409" s="212"/>
      <c r="W409" s="212"/>
      <c r="X409" s="212"/>
      <c r="Y409" s="212"/>
      <c r="Z409" s="212"/>
      <c r="AA409" s="212"/>
      <c r="AB409" s="212"/>
      <c r="AC409" s="196"/>
      <c r="AD409" s="27"/>
      <c r="AE409" s="213"/>
      <c r="AF409" s="212">
        <f t="shared" si="64"/>
        <v>-1.5125401353621726E-6</v>
      </c>
      <c r="AG409" s="212"/>
      <c r="AH409" s="212"/>
      <c r="AI409" s="212"/>
      <c r="AJ409" s="212"/>
      <c r="AK409" s="212"/>
      <c r="AL409" s="212"/>
      <c r="AM409" s="212"/>
      <c r="AN409" s="212"/>
      <c r="AO409" s="212"/>
      <c r="AP409" s="196"/>
      <c r="AQ409" s="196"/>
      <c r="AR409" s="211"/>
      <c r="AS409" s="212">
        <f t="shared" si="56"/>
        <v>-3.8162453748213918E-8</v>
      </c>
      <c r="AT409" s="212">
        <f>[1]!LIM(AT408+Mode*r0*((1+IntegrationStep/2/Ti+Td/IntegrationStep)*AS409-(1-IntegrationStep/2/Ti+2*Td/IntegrationStep)*AS408+Td/IntegrationStep*AS407))</f>
        <v>0.40307848448409206</v>
      </c>
      <c r="AU409" s="212">
        <f t="shared" si="57"/>
        <v>40.794124671602574</v>
      </c>
      <c r="AW409" s="58"/>
      <c r="AX409" s="58"/>
      <c r="AY409" s="58"/>
      <c r="AZ409" s="58"/>
    </row>
    <row r="410" spans="1:52" s="185" customFormat="1" ht="15" customHeight="1" x14ac:dyDescent="0.25">
      <c r="A410" s="200"/>
      <c r="B410" s="211"/>
      <c r="C410" s="212">
        <f t="shared" si="58"/>
        <v>39.900000000000297</v>
      </c>
      <c r="D410" s="231">
        <f>15+[1]!STEPLOAD(5)</f>
        <v>20</v>
      </c>
      <c r="E410" s="212">
        <f t="shared" si="60"/>
        <v>40.794128336593936</v>
      </c>
      <c r="F410" s="212">
        <f t="shared" si="61"/>
        <v>0.5</v>
      </c>
      <c r="G410" s="212">
        <f>5</f>
        <v>5</v>
      </c>
      <c r="H410" s="212">
        <f t="shared" si="59"/>
        <v>48.369419177385033</v>
      </c>
      <c r="I410" s="212">
        <f t="shared" si="62"/>
        <v>0.9</v>
      </c>
      <c r="J410" s="212">
        <f>1</f>
        <v>1</v>
      </c>
      <c r="K410" s="212">
        <f t="shared" si="63"/>
        <v>4.1870000000000003</v>
      </c>
      <c r="L410" s="212"/>
      <c r="M410" s="212"/>
      <c r="N410" s="212"/>
      <c r="O410" s="212"/>
      <c r="P410" s="212"/>
      <c r="Q410" s="212"/>
      <c r="R410" s="212"/>
      <c r="S410" s="212"/>
      <c r="T410" s="212"/>
      <c r="U410" s="212"/>
      <c r="V410" s="212"/>
      <c r="W410" s="212"/>
      <c r="X410" s="212"/>
      <c r="Y410" s="212"/>
      <c r="Z410" s="212"/>
      <c r="AA410" s="212"/>
      <c r="AB410" s="212"/>
      <c r="AC410" s="196"/>
      <c r="AD410" s="27"/>
      <c r="AE410" s="213"/>
      <c r="AF410" s="212">
        <f t="shared" si="64"/>
        <v>-1.4527352698578966E-6</v>
      </c>
      <c r="AG410" s="212"/>
      <c r="AH410" s="212"/>
      <c r="AI410" s="212"/>
      <c r="AJ410" s="212"/>
      <c r="AK410" s="212"/>
      <c r="AL410" s="212"/>
      <c r="AM410" s="212"/>
      <c r="AN410" s="212"/>
      <c r="AO410" s="212"/>
      <c r="AP410" s="196"/>
      <c r="AQ410" s="196"/>
      <c r="AR410" s="211"/>
      <c r="AS410" s="212">
        <f t="shared" si="56"/>
        <v>-3.6649913610631302E-8</v>
      </c>
      <c r="AT410" s="212">
        <f>[1]!LIM(AT409+Mode*r0*((1+IntegrationStep/2/Ti+Td/IntegrationStep)*AS410-(1-IntegrationStep/2/Ti+2*Td/IntegrationStep)*AS409+Td/IntegrationStep*AS408))</f>
        <v>0.40307849314487526</v>
      </c>
      <c r="AU410" s="212">
        <f t="shared" si="57"/>
        <v>40.794124671602574</v>
      </c>
      <c r="AW410" s="58"/>
      <c r="AX410" s="58"/>
      <c r="AY410" s="58"/>
      <c r="AZ410" s="58"/>
    </row>
    <row r="411" spans="1:52" s="185" customFormat="1" ht="15" customHeight="1" x14ac:dyDescent="0.25">
      <c r="A411" s="200"/>
      <c r="B411" s="211"/>
      <c r="C411" s="212">
        <f t="shared" si="58"/>
        <v>40.000000000000298</v>
      </c>
      <c r="D411" s="231">
        <f>15+[1]!STEPLOAD(5)</f>
        <v>20</v>
      </c>
      <c r="E411" s="212">
        <f t="shared" si="60"/>
        <v>40.794128191320411</v>
      </c>
      <c r="F411" s="212">
        <f t="shared" si="61"/>
        <v>0.5</v>
      </c>
      <c r="G411" s="212">
        <f>5</f>
        <v>5</v>
      </c>
      <c r="H411" s="212">
        <f t="shared" si="59"/>
        <v>48.369420175748907</v>
      </c>
      <c r="I411" s="212">
        <f t="shared" si="62"/>
        <v>0.9</v>
      </c>
      <c r="J411" s="212">
        <f>1</f>
        <v>1</v>
      </c>
      <c r="K411" s="212">
        <f t="shared" si="63"/>
        <v>4.1870000000000003</v>
      </c>
      <c r="L411" s="212"/>
      <c r="M411" s="212"/>
      <c r="N411" s="212"/>
      <c r="O411" s="212"/>
      <c r="P411" s="212"/>
      <c r="Q411" s="212"/>
      <c r="R411" s="212"/>
      <c r="S411" s="212"/>
      <c r="T411" s="212"/>
      <c r="U411" s="212"/>
      <c r="V411" s="212"/>
      <c r="W411" s="212"/>
      <c r="X411" s="212"/>
      <c r="Y411" s="212"/>
      <c r="Z411" s="212"/>
      <c r="AA411" s="212"/>
      <c r="AB411" s="212"/>
      <c r="AC411" s="196"/>
      <c r="AD411" s="27"/>
      <c r="AE411" s="213"/>
      <c r="AF411" s="212">
        <f t="shared" si="64"/>
        <v>-1.395288047323362E-6</v>
      </c>
      <c r="AG411" s="212"/>
      <c r="AH411" s="212"/>
      <c r="AI411" s="212"/>
      <c r="AJ411" s="212"/>
      <c r="AK411" s="212"/>
      <c r="AL411" s="212"/>
      <c r="AM411" s="212"/>
      <c r="AN411" s="212"/>
      <c r="AO411" s="212"/>
      <c r="AP411" s="196"/>
      <c r="AQ411" s="196"/>
      <c r="AR411" s="211"/>
      <c r="AS411" s="212">
        <f t="shared" si="56"/>
        <v>-3.5197178362977869E-8</v>
      </c>
      <c r="AT411" s="212">
        <f>[1]!LIM(AT410+Mode*r0*((1+IntegrationStep/2/Ti+Td/IntegrationStep)*AS411-(1-IntegrationStep/2/Ti+2*Td/IntegrationStep)*AS410+Td/IntegrationStep*AS409))</f>
        <v>0.40307850146457425</v>
      </c>
      <c r="AU411" s="212">
        <f t="shared" si="57"/>
        <v>40.794124671602574</v>
      </c>
      <c r="AW411" s="58"/>
      <c r="AX411" s="58"/>
      <c r="AY411" s="58"/>
      <c r="AZ411" s="58"/>
    </row>
    <row r="412" spans="1:52" s="185" customFormat="1" ht="15" customHeight="1" x14ac:dyDescent="0.25">
      <c r="A412" s="200"/>
      <c r="B412" s="211"/>
      <c r="C412" s="212">
        <f t="shared" si="58"/>
        <v>40.1000000000003</v>
      </c>
      <c r="D412" s="231">
        <f>15+[1]!STEPLOAD(5)</f>
        <v>20</v>
      </c>
      <c r="E412" s="212">
        <f t="shared" si="60"/>
        <v>40.794128051791603</v>
      </c>
      <c r="F412" s="212">
        <f t="shared" si="61"/>
        <v>0.5</v>
      </c>
      <c r="G412" s="212">
        <f>5</f>
        <v>5</v>
      </c>
      <c r="H412" s="212">
        <f t="shared" si="59"/>
        <v>48.369421134788411</v>
      </c>
      <c r="I412" s="212">
        <f t="shared" si="62"/>
        <v>0.9</v>
      </c>
      <c r="J412" s="212">
        <f>1</f>
        <v>1</v>
      </c>
      <c r="K412" s="212">
        <f t="shared" si="63"/>
        <v>4.1870000000000003</v>
      </c>
      <c r="L412" s="212"/>
      <c r="M412" s="212"/>
      <c r="N412" s="212"/>
      <c r="O412" s="212"/>
      <c r="P412" s="212"/>
      <c r="Q412" s="212"/>
      <c r="R412" s="212"/>
      <c r="S412" s="212"/>
      <c r="T412" s="212"/>
      <c r="U412" s="212"/>
      <c r="V412" s="212"/>
      <c r="W412" s="212"/>
      <c r="X412" s="212"/>
      <c r="Y412" s="212"/>
      <c r="Z412" s="212"/>
      <c r="AA412" s="212"/>
      <c r="AB412" s="212"/>
      <c r="AC412" s="196"/>
      <c r="AD412" s="27"/>
      <c r="AE412" s="213"/>
      <c r="AF412" s="212">
        <f t="shared" si="64"/>
        <v>-1.3401058587270143E-6</v>
      </c>
      <c r="AG412" s="212"/>
      <c r="AH412" s="212"/>
      <c r="AI412" s="212"/>
      <c r="AJ412" s="212"/>
      <c r="AK412" s="212"/>
      <c r="AL412" s="212"/>
      <c r="AM412" s="212"/>
      <c r="AN412" s="212"/>
      <c r="AO412" s="212"/>
      <c r="AP412" s="196"/>
      <c r="AQ412" s="196"/>
      <c r="AR412" s="211"/>
      <c r="AS412" s="212">
        <f t="shared" si="56"/>
        <v>-3.3801890282347811E-8</v>
      </c>
      <c r="AT412" s="212">
        <f>[1]!LIM(AT411+Mode*r0*((1+IntegrationStep/2/Ti+Td/IntegrationStep)*AS412-(1-IntegrationStep/2/Ti+2*Td/IntegrationStep)*AS411+Td/IntegrationStep*AS410))</f>
        <v>0.40307850945657009</v>
      </c>
      <c r="AU412" s="212">
        <f t="shared" si="57"/>
        <v>40.794124671602574</v>
      </c>
      <c r="AW412" s="58"/>
      <c r="AX412" s="58"/>
      <c r="AY412" s="58"/>
      <c r="AZ412" s="58"/>
    </row>
    <row r="413" spans="1:52" s="185" customFormat="1" ht="15" customHeight="1" x14ac:dyDescent="0.25">
      <c r="A413" s="200"/>
      <c r="B413" s="211"/>
      <c r="C413" s="212">
        <f t="shared" si="58"/>
        <v>40.200000000000301</v>
      </c>
      <c r="D413" s="231">
        <f>15+[1]!STEPLOAD(5)</f>
        <v>20</v>
      </c>
      <c r="E413" s="212">
        <f t="shared" si="60"/>
        <v>40.794127917781019</v>
      </c>
      <c r="F413" s="212">
        <f t="shared" si="61"/>
        <v>0.5</v>
      </c>
      <c r="G413" s="212">
        <f>5</f>
        <v>5</v>
      </c>
      <c r="H413" s="212">
        <f t="shared" si="59"/>
        <v>48.36942205604624</v>
      </c>
      <c r="I413" s="212">
        <f t="shared" si="62"/>
        <v>0.9</v>
      </c>
      <c r="J413" s="212">
        <f>1</f>
        <v>1</v>
      </c>
      <c r="K413" s="212">
        <f t="shared" si="63"/>
        <v>4.1870000000000003</v>
      </c>
      <c r="L413" s="212"/>
      <c r="M413" s="212"/>
      <c r="N413" s="212"/>
      <c r="O413" s="212"/>
      <c r="P413" s="212"/>
      <c r="Q413" s="212"/>
      <c r="R413" s="212"/>
      <c r="S413" s="212"/>
      <c r="T413" s="212"/>
      <c r="U413" s="212"/>
      <c r="V413" s="212"/>
      <c r="W413" s="212"/>
      <c r="X413" s="212"/>
      <c r="Y413" s="212"/>
      <c r="Z413" s="212"/>
      <c r="AA413" s="212"/>
      <c r="AB413" s="212"/>
      <c r="AC413" s="196"/>
      <c r="AD413" s="27"/>
      <c r="AE413" s="213"/>
      <c r="AF413" s="212">
        <f t="shared" si="64"/>
        <v>-1.2870997347924629E-6</v>
      </c>
      <c r="AG413" s="212"/>
      <c r="AH413" s="212"/>
      <c r="AI413" s="212"/>
      <c r="AJ413" s="212"/>
      <c r="AK413" s="212"/>
      <c r="AL413" s="212"/>
      <c r="AM413" s="212"/>
      <c r="AN413" s="212"/>
      <c r="AO413" s="212"/>
      <c r="AP413" s="196"/>
      <c r="AQ413" s="196"/>
      <c r="AR413" s="211"/>
      <c r="AS413" s="212">
        <f t="shared" si="56"/>
        <v>-3.2461784442716633E-8</v>
      </c>
      <c r="AT413" s="212">
        <f>[1]!LIM(AT412+Mode*r0*((1+IntegrationStep/2/Ti+Td/IntegrationStep)*AS413-(1-IntegrationStep/2/Ti+2*Td/IntegrationStep)*AS412+Td/IntegrationStep*AS411))</f>
        <v>0.40307851713371867</v>
      </c>
      <c r="AU413" s="212">
        <f t="shared" si="57"/>
        <v>40.794124671602574</v>
      </c>
      <c r="AW413" s="58"/>
      <c r="AX413" s="58"/>
      <c r="AY413" s="58"/>
      <c r="AZ413" s="58"/>
    </row>
    <row r="414" spans="1:52" s="185" customFormat="1" ht="15" customHeight="1" x14ac:dyDescent="0.25">
      <c r="A414" s="200"/>
      <c r="B414" s="211"/>
      <c r="C414" s="212">
        <f t="shared" si="58"/>
        <v>40.300000000000303</v>
      </c>
      <c r="D414" s="231">
        <f>15+[1]!STEPLOAD(5)</f>
        <v>20</v>
      </c>
      <c r="E414" s="212">
        <f t="shared" si="60"/>
        <v>40.794127789071048</v>
      </c>
      <c r="F414" s="212">
        <f t="shared" si="61"/>
        <v>0.5</v>
      </c>
      <c r="G414" s="212">
        <f>5</f>
        <v>5</v>
      </c>
      <c r="H414" s="212">
        <f t="shared" si="59"/>
        <v>48.369422941005155</v>
      </c>
      <c r="I414" s="212">
        <f t="shared" si="62"/>
        <v>0.9</v>
      </c>
      <c r="J414" s="212">
        <f>1</f>
        <v>1</v>
      </c>
      <c r="K414" s="212">
        <f t="shared" si="63"/>
        <v>4.1870000000000003</v>
      </c>
      <c r="L414" s="212"/>
      <c r="M414" s="212"/>
      <c r="N414" s="212"/>
      <c r="O414" s="212"/>
      <c r="P414" s="212"/>
      <c r="Q414" s="212"/>
      <c r="R414" s="212"/>
      <c r="S414" s="212"/>
      <c r="T414" s="212"/>
      <c r="U414" s="212"/>
      <c r="V414" s="212"/>
      <c r="W414" s="212"/>
      <c r="X414" s="212"/>
      <c r="Y414" s="212"/>
      <c r="Z414" s="212"/>
      <c r="AA414" s="212"/>
      <c r="AB414" s="212"/>
      <c r="AC414" s="196"/>
      <c r="AD414" s="27"/>
      <c r="AE414" s="213"/>
      <c r="AF414" s="212">
        <f t="shared" si="64"/>
        <v>-1.2361841705832433E-6</v>
      </c>
      <c r="AG414" s="212"/>
      <c r="AH414" s="212"/>
      <c r="AI414" s="212"/>
      <c r="AJ414" s="212"/>
      <c r="AK414" s="212"/>
      <c r="AL414" s="212"/>
      <c r="AM414" s="212"/>
      <c r="AN414" s="212"/>
      <c r="AO414" s="212"/>
      <c r="AP414" s="196"/>
      <c r="AQ414" s="196"/>
      <c r="AR414" s="211"/>
      <c r="AS414" s="212">
        <f t="shared" si="56"/>
        <v>-3.1174684735901793E-8</v>
      </c>
      <c r="AT414" s="212">
        <f>[1]!LIM(AT413+Mode*r0*((1+IntegrationStep/2/Ti+Td/IntegrationStep)*AS414-(1-IntegrationStep/2/Ti+2*Td/IntegrationStep)*AS413+Td/IntegrationStep*AS412))</f>
        <v>0.40307852450837628</v>
      </c>
      <c r="AU414" s="212">
        <f t="shared" si="57"/>
        <v>40.794124671602574</v>
      </c>
      <c r="AW414" s="58"/>
      <c r="AX414" s="58"/>
      <c r="AY414" s="58"/>
      <c r="AZ414" s="58"/>
    </row>
    <row r="415" spans="1:52" s="185" customFormat="1" ht="15" customHeight="1" x14ac:dyDescent="0.25">
      <c r="A415" s="200"/>
      <c r="B415" s="211"/>
      <c r="C415" s="212">
        <f t="shared" si="58"/>
        <v>40.400000000000304</v>
      </c>
      <c r="D415" s="231">
        <f>15+[1]!STEPLOAD(5)</f>
        <v>20</v>
      </c>
      <c r="E415" s="212">
        <f t="shared" si="60"/>
        <v>40.794127665452628</v>
      </c>
      <c r="F415" s="212">
        <f t="shared" si="61"/>
        <v>0.5</v>
      </c>
      <c r="G415" s="212">
        <f>5</f>
        <v>5</v>
      </c>
      <c r="H415" s="212">
        <f t="shared" si="59"/>
        <v>48.36942379109005</v>
      </c>
      <c r="I415" s="212">
        <f t="shared" si="62"/>
        <v>0.9</v>
      </c>
      <c r="J415" s="212">
        <f>1</f>
        <v>1</v>
      </c>
      <c r="K415" s="212">
        <f t="shared" si="63"/>
        <v>4.1870000000000003</v>
      </c>
      <c r="L415" s="212"/>
      <c r="M415" s="212"/>
      <c r="N415" s="212"/>
      <c r="O415" s="212"/>
      <c r="P415" s="212"/>
      <c r="Q415" s="212"/>
      <c r="R415" s="212"/>
      <c r="S415" s="212"/>
      <c r="T415" s="212"/>
      <c r="U415" s="212"/>
      <c r="V415" s="212"/>
      <c r="W415" s="212"/>
      <c r="X415" s="212"/>
      <c r="Y415" s="212"/>
      <c r="Z415" s="212"/>
      <c r="AA415" s="212"/>
      <c r="AB415" s="212"/>
      <c r="AC415" s="196"/>
      <c r="AD415" s="27"/>
      <c r="AE415" s="213"/>
      <c r="AF415" s="212">
        <f t="shared" si="64"/>
        <v>-1.1872770020460166E-6</v>
      </c>
      <c r="AG415" s="212"/>
      <c r="AH415" s="212"/>
      <c r="AI415" s="212"/>
      <c r="AJ415" s="212"/>
      <c r="AK415" s="212"/>
      <c r="AL415" s="212"/>
      <c r="AM415" s="212"/>
      <c r="AN415" s="212"/>
      <c r="AO415" s="212"/>
      <c r="AP415" s="196"/>
      <c r="AQ415" s="196"/>
      <c r="AR415" s="211"/>
      <c r="AS415" s="212">
        <f t="shared" si="56"/>
        <v>-2.9938500532011859E-8</v>
      </c>
      <c r="AT415" s="212">
        <f>[1]!LIM(AT414+Mode*r0*((1+IntegrationStep/2/Ti+Td/IntegrationStep)*AS415-(1-IntegrationStep/2/Ti+2*Td/IntegrationStep)*AS414+Td/IntegrationStep*AS413))</f>
        <v>0.40307853159241708</v>
      </c>
      <c r="AU415" s="212">
        <f t="shared" si="57"/>
        <v>40.794124671602574</v>
      </c>
      <c r="AW415" s="58"/>
      <c r="AX415" s="58"/>
      <c r="AY415" s="58"/>
      <c r="AZ415" s="58"/>
    </row>
    <row r="416" spans="1:52" s="185" customFormat="1" ht="15" customHeight="1" x14ac:dyDescent="0.25">
      <c r="A416" s="200"/>
      <c r="B416" s="211"/>
      <c r="C416" s="212">
        <f t="shared" si="58"/>
        <v>40.500000000000306</v>
      </c>
      <c r="D416" s="231">
        <f>15+[1]!STEPLOAD(5)</f>
        <v>20</v>
      </c>
      <c r="E416" s="212">
        <f t="shared" si="60"/>
        <v>40.79412754672493</v>
      </c>
      <c r="F416" s="212">
        <f t="shared" si="61"/>
        <v>0.5</v>
      </c>
      <c r="G416" s="212">
        <f>5</f>
        <v>5</v>
      </c>
      <c r="H416" s="212">
        <f t="shared" si="59"/>
        <v>48.369424607669821</v>
      </c>
      <c r="I416" s="212">
        <f t="shared" si="62"/>
        <v>0.9</v>
      </c>
      <c r="J416" s="212">
        <f>1</f>
        <v>1</v>
      </c>
      <c r="K416" s="212">
        <f t="shared" si="63"/>
        <v>4.1870000000000003</v>
      </c>
      <c r="L416" s="212"/>
      <c r="M416" s="212"/>
      <c r="N416" s="212"/>
      <c r="O416" s="212"/>
      <c r="P416" s="212"/>
      <c r="Q416" s="212"/>
      <c r="R416" s="212"/>
      <c r="S416" s="212"/>
      <c r="T416" s="212"/>
      <c r="U416" s="212"/>
      <c r="V416" s="212"/>
      <c r="W416" s="212"/>
      <c r="X416" s="212"/>
      <c r="Y416" s="212"/>
      <c r="Z416" s="212"/>
      <c r="AA416" s="212"/>
      <c r="AB416" s="212"/>
      <c r="AC416" s="196"/>
      <c r="AD416" s="27"/>
      <c r="AE416" s="213"/>
      <c r="AF416" s="212">
        <f t="shared" si="64"/>
        <v>-1.1402992980968918E-6</v>
      </c>
      <c r="AG416" s="212"/>
      <c r="AH416" s="212"/>
      <c r="AI416" s="212"/>
      <c r="AJ416" s="212"/>
      <c r="AK416" s="212"/>
      <c r="AL416" s="212"/>
      <c r="AM416" s="212"/>
      <c r="AN416" s="212"/>
      <c r="AO416" s="212"/>
      <c r="AP416" s="196"/>
      <c r="AQ416" s="196"/>
      <c r="AR416" s="211"/>
      <c r="AS416" s="212">
        <f t="shared" si="56"/>
        <v>-2.8751223553058482E-8</v>
      </c>
      <c r="AT416" s="212">
        <f>[1]!LIM(AT415+Mode*r0*((1+IntegrationStep/2/Ti+Td/IntegrationStep)*AS416-(1-IntegrationStep/2/Ti+2*Td/IntegrationStep)*AS415+Td/IntegrationStep*AS414))</f>
        <v>0.4030785383972485</v>
      </c>
      <c r="AU416" s="212">
        <f t="shared" si="57"/>
        <v>40.794124671602574</v>
      </c>
      <c r="AW416" s="58"/>
      <c r="AX416" s="58"/>
      <c r="AY416" s="58"/>
      <c r="AZ416" s="58"/>
    </row>
    <row r="417" spans="1:52" s="185" customFormat="1" ht="15" customHeight="1" x14ac:dyDescent="0.25">
      <c r="A417" s="200"/>
      <c r="B417" s="211"/>
      <c r="C417" s="212">
        <f t="shared" si="58"/>
        <v>40.600000000000307</v>
      </c>
      <c r="D417" s="231">
        <f>15+[1]!STEPLOAD(5)</f>
        <v>20</v>
      </c>
      <c r="E417" s="212">
        <f t="shared" si="60"/>
        <v>40.794127432694999</v>
      </c>
      <c r="F417" s="212">
        <f t="shared" si="61"/>
        <v>0.5</v>
      </c>
      <c r="G417" s="212">
        <f>5</f>
        <v>5</v>
      </c>
      <c r="H417" s="212">
        <f t="shared" si="59"/>
        <v>48.369425392060236</v>
      </c>
      <c r="I417" s="212">
        <f t="shared" si="62"/>
        <v>0.9</v>
      </c>
      <c r="J417" s="212">
        <f>1</f>
        <v>1</v>
      </c>
      <c r="K417" s="212">
        <f t="shared" si="63"/>
        <v>4.1870000000000003</v>
      </c>
      <c r="L417" s="212"/>
      <c r="M417" s="212"/>
      <c r="N417" s="212"/>
      <c r="O417" s="212"/>
      <c r="P417" s="212"/>
      <c r="Q417" s="212"/>
      <c r="R417" s="212"/>
      <c r="S417" s="212"/>
      <c r="T417" s="212"/>
      <c r="U417" s="212"/>
      <c r="V417" s="212"/>
      <c r="W417" s="212"/>
      <c r="X417" s="212"/>
      <c r="Y417" s="212"/>
      <c r="Z417" s="212"/>
      <c r="AA417" s="212"/>
      <c r="AB417" s="212"/>
      <c r="AC417" s="196"/>
      <c r="AD417" s="27"/>
      <c r="AE417" s="213"/>
      <c r="AF417" s="212">
        <f t="shared" si="64"/>
        <v>-1.0951751980847746E-6</v>
      </c>
      <c r="AG417" s="212"/>
      <c r="AH417" s="212"/>
      <c r="AI417" s="212"/>
      <c r="AJ417" s="212"/>
      <c r="AK417" s="212"/>
      <c r="AL417" s="212"/>
      <c r="AM417" s="212"/>
      <c r="AN417" s="212"/>
      <c r="AO417" s="212"/>
      <c r="AP417" s="196"/>
      <c r="AQ417" s="196"/>
      <c r="AR417" s="211"/>
      <c r="AS417" s="212">
        <f t="shared" si="56"/>
        <v>-2.7610924249188428E-8</v>
      </c>
      <c r="AT417" s="212">
        <f>[1]!LIM(AT416+Mode*r0*((1+IntegrationStep/2/Ti+Td/IntegrationStep)*AS417-(1-IntegrationStep/2/Ti+2*Td/IntegrationStep)*AS416+Td/IntegrationStep*AS415))</f>
        <v>0.40307854493383533</v>
      </c>
      <c r="AU417" s="212">
        <f t="shared" si="57"/>
        <v>40.794124671602574</v>
      </c>
      <c r="AW417" s="58"/>
      <c r="AX417" s="58"/>
      <c r="AY417" s="58"/>
      <c r="AZ417" s="58"/>
    </row>
    <row r="418" spans="1:52" s="185" customFormat="1" ht="15" customHeight="1" x14ac:dyDescent="0.25">
      <c r="A418" s="200"/>
      <c r="B418" s="211"/>
      <c r="C418" s="212">
        <f t="shared" si="58"/>
        <v>40.700000000000308</v>
      </c>
      <c r="D418" s="231">
        <f>15+[1]!STEPLOAD(5)</f>
        <v>20</v>
      </c>
      <c r="E418" s="212">
        <f t="shared" si="60"/>
        <v>40.794127323177477</v>
      </c>
      <c r="F418" s="212">
        <f t="shared" si="61"/>
        <v>0.5</v>
      </c>
      <c r="G418" s="212">
        <f>5</f>
        <v>5</v>
      </c>
      <c r="H418" s="212">
        <f t="shared" si="59"/>
        <v>48.369426145525487</v>
      </c>
      <c r="I418" s="212">
        <f t="shared" si="62"/>
        <v>0.9</v>
      </c>
      <c r="J418" s="212">
        <f>1</f>
        <v>1</v>
      </c>
      <c r="K418" s="212">
        <f t="shared" si="63"/>
        <v>4.1870000000000003</v>
      </c>
      <c r="L418" s="212"/>
      <c r="M418" s="212"/>
      <c r="N418" s="212"/>
      <c r="O418" s="212"/>
      <c r="P418" s="212"/>
      <c r="Q418" s="212"/>
      <c r="R418" s="212"/>
      <c r="S418" s="212"/>
      <c r="T418" s="212"/>
      <c r="U418" s="212"/>
      <c r="V418" s="212"/>
      <c r="W418" s="212"/>
      <c r="X418" s="212"/>
      <c r="Y418" s="212"/>
      <c r="Z418" s="212"/>
      <c r="AA418" s="212"/>
      <c r="AB418" s="212"/>
      <c r="AC418" s="196"/>
      <c r="AD418" s="27"/>
      <c r="AE418" s="213"/>
      <c r="AF418" s="212">
        <f t="shared" si="64"/>
        <v>-1.0518318180885444E-6</v>
      </c>
      <c r="AG418" s="212"/>
      <c r="AH418" s="212"/>
      <c r="AI418" s="212"/>
      <c r="AJ418" s="212"/>
      <c r="AK418" s="212"/>
      <c r="AL418" s="212"/>
      <c r="AM418" s="212"/>
      <c r="AN418" s="212"/>
      <c r="AO418" s="212"/>
      <c r="AP418" s="196"/>
      <c r="AQ418" s="196"/>
      <c r="AR418" s="211"/>
      <c r="AS418" s="212">
        <f t="shared" si="56"/>
        <v>-2.6515749027566926E-8</v>
      </c>
      <c r="AT418" s="212">
        <f>[1]!LIM(AT417+Mode*r0*((1+IntegrationStep/2/Ti+Td/IntegrationStep)*AS418-(1-IntegrationStep/2/Ti+2*Td/IntegrationStep)*AS417+Td/IntegrationStep*AS416))</f>
        <v>0.40307855121271241</v>
      </c>
      <c r="AU418" s="212">
        <f t="shared" si="57"/>
        <v>40.794124671602574</v>
      </c>
      <c r="AW418" s="58"/>
      <c r="AX418" s="58"/>
      <c r="AY418" s="58"/>
      <c r="AZ418" s="58"/>
    </row>
    <row r="419" spans="1:52" s="185" customFormat="1" ht="15" customHeight="1" x14ac:dyDescent="0.25">
      <c r="A419" s="200"/>
      <c r="B419" s="211"/>
      <c r="C419" s="212">
        <f t="shared" si="58"/>
        <v>40.80000000000031</v>
      </c>
      <c r="D419" s="231">
        <f>15+[1]!STEPLOAD(5)</f>
        <v>20</v>
      </c>
      <c r="E419" s="212">
        <f t="shared" si="60"/>
        <v>40.794127217994294</v>
      </c>
      <c r="F419" s="212">
        <f t="shared" si="61"/>
        <v>0.5</v>
      </c>
      <c r="G419" s="212">
        <f>5</f>
        <v>5</v>
      </c>
      <c r="H419" s="212">
        <f t="shared" si="59"/>
        <v>48.369426869280289</v>
      </c>
      <c r="I419" s="212">
        <f t="shared" si="62"/>
        <v>0.9</v>
      </c>
      <c r="J419" s="212">
        <f>1</f>
        <v>1</v>
      </c>
      <c r="K419" s="212">
        <f t="shared" si="63"/>
        <v>4.1870000000000003</v>
      </c>
      <c r="L419" s="212"/>
      <c r="M419" s="212"/>
      <c r="N419" s="212"/>
      <c r="O419" s="212"/>
      <c r="P419" s="212"/>
      <c r="Q419" s="212"/>
      <c r="R419" s="212"/>
      <c r="S419" s="212"/>
      <c r="T419" s="212"/>
      <c r="U419" s="212"/>
      <c r="V419" s="212"/>
      <c r="W419" s="212"/>
      <c r="X419" s="212"/>
      <c r="Y419" s="212"/>
      <c r="Z419" s="212"/>
      <c r="AA419" s="212"/>
      <c r="AB419" s="212"/>
      <c r="AC419" s="196"/>
      <c r="AD419" s="27"/>
      <c r="AE419" s="213"/>
      <c r="AF419" s="212">
        <f t="shared" si="64"/>
        <v>-1.0101991305688784E-6</v>
      </c>
      <c r="AG419" s="212"/>
      <c r="AH419" s="212"/>
      <c r="AI419" s="212"/>
      <c r="AJ419" s="212"/>
      <c r="AK419" s="212"/>
      <c r="AL419" s="212"/>
      <c r="AM419" s="212"/>
      <c r="AN419" s="212"/>
      <c r="AO419" s="212"/>
      <c r="AP419" s="196"/>
      <c r="AQ419" s="196"/>
      <c r="AR419" s="211"/>
      <c r="AS419" s="212">
        <f t="shared" si="56"/>
        <v>-2.5463917197043884E-8</v>
      </c>
      <c r="AT419" s="212">
        <f>[1]!LIM(AT418+Mode*r0*((1+IntegrationStep/2/Ti+Td/IntegrationStep)*AS419-(1-IntegrationStep/2/Ti+2*Td/IntegrationStep)*AS418+Td/IntegrationStep*AS417))</f>
        <v>0.40307855724400243</v>
      </c>
      <c r="AU419" s="212">
        <f t="shared" si="57"/>
        <v>40.794124671602574</v>
      </c>
      <c r="AW419" s="58"/>
      <c r="AX419" s="58"/>
      <c r="AY419" s="58"/>
      <c r="AZ419" s="58"/>
    </row>
    <row r="420" spans="1:52" s="185" customFormat="1" ht="15" customHeight="1" x14ac:dyDescent="0.25">
      <c r="A420" s="200"/>
      <c r="B420" s="211"/>
      <c r="C420" s="212">
        <f t="shared" si="58"/>
        <v>40.900000000000311</v>
      </c>
      <c r="D420" s="231">
        <f>15+[1]!STEPLOAD(5)</f>
        <v>20</v>
      </c>
      <c r="E420" s="212">
        <f t="shared" si="60"/>
        <v>40.79412711697438</v>
      </c>
      <c r="F420" s="212">
        <f t="shared" si="61"/>
        <v>0.5</v>
      </c>
      <c r="G420" s="212">
        <f>5</f>
        <v>5</v>
      </c>
      <c r="H420" s="212">
        <f t="shared" si="59"/>
        <v>48.369427564491957</v>
      </c>
      <c r="I420" s="212">
        <f t="shared" si="62"/>
        <v>0.9</v>
      </c>
      <c r="J420" s="212">
        <f>1</f>
        <v>1</v>
      </c>
      <c r="K420" s="212">
        <f t="shared" si="63"/>
        <v>4.1870000000000003</v>
      </c>
      <c r="L420" s="212"/>
      <c r="M420" s="212"/>
      <c r="N420" s="212"/>
      <c r="O420" s="212"/>
      <c r="P420" s="212"/>
      <c r="Q420" s="212"/>
      <c r="R420" s="212"/>
      <c r="S420" s="212"/>
      <c r="T420" s="212"/>
      <c r="U420" s="212"/>
      <c r="V420" s="212"/>
      <c r="W420" s="212"/>
      <c r="X420" s="212"/>
      <c r="Y420" s="212"/>
      <c r="Z420" s="212"/>
      <c r="AA420" s="212"/>
      <c r="AB420" s="212"/>
      <c r="AC420" s="196"/>
      <c r="AD420" s="27"/>
      <c r="AE420" s="213"/>
      <c r="AF420" s="212">
        <f t="shared" si="64"/>
        <v>-9.7020984490825413E-7</v>
      </c>
      <c r="AG420" s="212"/>
      <c r="AH420" s="212"/>
      <c r="AI420" s="212"/>
      <c r="AJ420" s="212"/>
      <c r="AK420" s="212"/>
      <c r="AL420" s="212"/>
      <c r="AM420" s="212"/>
      <c r="AN420" s="212"/>
      <c r="AO420" s="212"/>
      <c r="AP420" s="196"/>
      <c r="AQ420" s="196"/>
      <c r="AR420" s="211"/>
      <c r="AS420" s="212">
        <f t="shared" si="56"/>
        <v>-2.4453718054928685E-8</v>
      </c>
      <c r="AT420" s="212">
        <f>[1]!LIM(AT419+Mode*r0*((1+IntegrationStep/2/Ti+Td/IntegrationStep)*AS420-(1-IntegrationStep/2/Ti+2*Td/IntegrationStep)*AS419+Td/IntegrationStep*AS418))</f>
        <v>0.40307856303743295</v>
      </c>
      <c r="AU420" s="212">
        <f t="shared" si="57"/>
        <v>40.794124671602574</v>
      </c>
      <c r="AW420" s="58"/>
      <c r="AX420" s="58"/>
      <c r="AY420" s="58"/>
      <c r="AZ420" s="58"/>
    </row>
    <row r="421" spans="1:52" s="185" customFormat="1" ht="15" customHeight="1" x14ac:dyDescent="0.25">
      <c r="A421" s="200"/>
      <c r="B421" s="211"/>
      <c r="C421" s="212">
        <f t="shared" si="58"/>
        <v>41.000000000000313</v>
      </c>
      <c r="D421" s="231">
        <f>15+[1]!STEPLOAD(5)</f>
        <v>20</v>
      </c>
      <c r="E421" s="212">
        <f t="shared" si="60"/>
        <v>40.794127019953393</v>
      </c>
      <c r="F421" s="212">
        <f t="shared" si="61"/>
        <v>0.5</v>
      </c>
      <c r="G421" s="212">
        <f>5</f>
        <v>5</v>
      </c>
      <c r="H421" s="212">
        <f t="shared" si="59"/>
        <v>48.369428232282125</v>
      </c>
      <c r="I421" s="212">
        <f t="shared" si="62"/>
        <v>0.9</v>
      </c>
      <c r="J421" s="212">
        <f>1</f>
        <v>1</v>
      </c>
      <c r="K421" s="212">
        <f t="shared" si="63"/>
        <v>4.1870000000000003</v>
      </c>
      <c r="L421" s="212"/>
      <c r="M421" s="212"/>
      <c r="N421" s="212"/>
      <c r="O421" s="212"/>
      <c r="P421" s="212"/>
      <c r="Q421" s="212"/>
      <c r="R421" s="212"/>
      <c r="S421" s="212"/>
      <c r="T421" s="212"/>
      <c r="U421" s="212"/>
      <c r="V421" s="212"/>
      <c r="W421" s="212"/>
      <c r="X421" s="212"/>
      <c r="Y421" s="212"/>
      <c r="Z421" s="212"/>
      <c r="AA421" s="212"/>
      <c r="AB421" s="212"/>
      <c r="AC421" s="196"/>
      <c r="AD421" s="27"/>
      <c r="AE421" s="213"/>
      <c r="AF421" s="212">
        <f t="shared" si="64"/>
        <v>-9.3179930793496624E-7</v>
      </c>
      <c r="AG421" s="212"/>
      <c r="AH421" s="212"/>
      <c r="AI421" s="212"/>
      <c r="AJ421" s="212"/>
      <c r="AK421" s="212"/>
      <c r="AL421" s="212"/>
      <c r="AM421" s="212"/>
      <c r="AN421" s="212"/>
      <c r="AO421" s="212"/>
      <c r="AP421" s="196"/>
      <c r="AQ421" s="196"/>
      <c r="AR421" s="211"/>
      <c r="AS421" s="212">
        <f t="shared" si="56"/>
        <v>-2.3483508186927793E-8</v>
      </c>
      <c r="AT421" s="212">
        <f>[1]!LIM(AT420+Mode*r0*((1+IntegrationStep/2/Ti+Td/IntegrationStep)*AS421-(1-IntegrationStep/2/Ti+2*Td/IntegrationStep)*AS420+Td/IntegrationStep*AS419))</f>
        <v>0.40307856860235103</v>
      </c>
      <c r="AU421" s="212">
        <f t="shared" si="57"/>
        <v>40.794124671602574</v>
      </c>
      <c r="AW421" s="58"/>
      <c r="AX421" s="58"/>
      <c r="AY421" s="58"/>
      <c r="AZ421" s="58"/>
    </row>
    <row r="422" spans="1:52" s="185" customFormat="1" ht="15" customHeight="1" x14ac:dyDescent="0.25">
      <c r="A422" s="200"/>
      <c r="B422" s="211"/>
      <c r="C422" s="212">
        <f t="shared" si="58"/>
        <v>41.100000000000314</v>
      </c>
      <c r="D422" s="231">
        <f>15+[1]!STEPLOAD(5)</f>
        <v>20</v>
      </c>
      <c r="E422" s="212">
        <f t="shared" si="60"/>
        <v>40.794126926773465</v>
      </c>
      <c r="F422" s="212">
        <f t="shared" si="61"/>
        <v>0.5</v>
      </c>
      <c r="G422" s="212">
        <f>5</f>
        <v>5</v>
      </c>
      <c r="H422" s="212">
        <f t="shared" si="59"/>
        <v>48.369428873728438</v>
      </c>
      <c r="I422" s="212">
        <f t="shared" si="62"/>
        <v>0.9</v>
      </c>
      <c r="J422" s="212">
        <f>1</f>
        <v>1</v>
      </c>
      <c r="K422" s="212">
        <f t="shared" si="63"/>
        <v>4.1870000000000003</v>
      </c>
      <c r="L422" s="212"/>
      <c r="M422" s="212"/>
      <c r="N422" s="212"/>
      <c r="O422" s="212"/>
      <c r="P422" s="212"/>
      <c r="Q422" s="212"/>
      <c r="R422" s="212"/>
      <c r="S422" s="212"/>
      <c r="T422" s="212"/>
      <c r="U422" s="212"/>
      <c r="V422" s="212"/>
      <c r="W422" s="212"/>
      <c r="X422" s="212"/>
      <c r="Y422" s="212"/>
      <c r="Z422" s="212"/>
      <c r="AA422" s="212"/>
      <c r="AB422" s="212"/>
      <c r="AC422" s="196"/>
      <c r="AD422" s="27"/>
      <c r="AE422" s="213"/>
      <c r="AF422" s="212">
        <f t="shared" si="64"/>
        <v>-8.9490540533532226E-7</v>
      </c>
      <c r="AG422" s="212"/>
      <c r="AH422" s="212"/>
      <c r="AI422" s="212"/>
      <c r="AJ422" s="212"/>
      <c r="AK422" s="212"/>
      <c r="AL422" s="212"/>
      <c r="AM422" s="212"/>
      <c r="AN422" s="212"/>
      <c r="AO422" s="212"/>
      <c r="AP422" s="196"/>
      <c r="AQ422" s="196"/>
      <c r="AR422" s="211"/>
      <c r="AS422" s="212">
        <f t="shared" si="56"/>
        <v>-2.2551708909190894E-8</v>
      </c>
      <c r="AT422" s="212">
        <f>[1]!LIM(AT421+Mode*r0*((1+IntegrationStep/2/Ti+Td/IntegrationStep)*AS422-(1-IntegrationStep/2/Ti+2*Td/IntegrationStep)*AS421+Td/IntegrationStep*AS420))</f>
        <v>0.403078573947737</v>
      </c>
      <c r="AU422" s="212">
        <f t="shared" si="57"/>
        <v>40.794124671602574</v>
      </c>
      <c r="AW422" s="58"/>
      <c r="AX422" s="58"/>
      <c r="AY422" s="58"/>
      <c r="AZ422" s="58"/>
    </row>
    <row r="423" spans="1:52" s="185" customFormat="1" ht="15" customHeight="1" x14ac:dyDescent="0.25">
      <c r="A423" s="200"/>
      <c r="B423" s="211"/>
      <c r="C423" s="212">
        <f t="shared" si="58"/>
        <v>41.200000000000315</v>
      </c>
      <c r="D423" s="231">
        <f>15+[1]!STEPLOAD(5)</f>
        <v>20</v>
      </c>
      <c r="E423" s="212">
        <f t="shared" si="60"/>
        <v>40.794126837282924</v>
      </c>
      <c r="F423" s="212">
        <f t="shared" si="61"/>
        <v>0.5</v>
      </c>
      <c r="G423" s="212">
        <f>5</f>
        <v>5</v>
      </c>
      <c r="H423" s="212">
        <f t="shared" si="59"/>
        <v>48.369429489866654</v>
      </c>
      <c r="I423" s="212">
        <f t="shared" si="62"/>
        <v>0.9</v>
      </c>
      <c r="J423" s="212">
        <f>1</f>
        <v>1</v>
      </c>
      <c r="K423" s="212">
        <f t="shared" si="63"/>
        <v>4.1870000000000003</v>
      </c>
      <c r="L423" s="212"/>
      <c r="M423" s="212"/>
      <c r="N423" s="212"/>
      <c r="O423" s="212"/>
      <c r="P423" s="212"/>
      <c r="Q423" s="212"/>
      <c r="R423" s="212"/>
      <c r="S423" s="212"/>
      <c r="T423" s="212"/>
      <c r="U423" s="212"/>
      <c r="V423" s="212"/>
      <c r="W423" s="212"/>
      <c r="X423" s="212"/>
      <c r="Y423" s="212"/>
      <c r="Z423" s="212"/>
      <c r="AA423" s="212"/>
      <c r="AB423" s="212"/>
      <c r="AC423" s="196"/>
      <c r="AD423" s="27"/>
      <c r="AE423" s="213"/>
      <c r="AF423" s="212">
        <f t="shared" si="64"/>
        <v>-8.5946844174955572E-7</v>
      </c>
      <c r="AG423" s="212"/>
      <c r="AH423" s="212"/>
      <c r="AI423" s="212"/>
      <c r="AJ423" s="212"/>
      <c r="AK423" s="212"/>
      <c r="AL423" s="212"/>
      <c r="AM423" s="212"/>
      <c r="AN423" s="212"/>
      <c r="AO423" s="212"/>
      <c r="AP423" s="196"/>
      <c r="AQ423" s="196"/>
      <c r="AR423" s="211"/>
      <c r="AS423" s="212">
        <f t="shared" si="56"/>
        <v>-2.1656803497194232E-8</v>
      </c>
      <c r="AT423" s="212">
        <f>[1]!LIM(AT422+Mode*r0*((1+IntegrationStep/2/Ti+Td/IntegrationStep)*AS423-(1-IntegrationStep/2/Ti+2*Td/IntegrationStep)*AS422+Td/IntegrationStep*AS421))</f>
        <v>0.40307857908222211</v>
      </c>
      <c r="AU423" s="212">
        <f t="shared" si="57"/>
        <v>40.794124671602574</v>
      </c>
      <c r="AW423" s="58"/>
      <c r="AX423" s="58"/>
      <c r="AY423" s="58"/>
      <c r="AZ423" s="58"/>
    </row>
    <row r="424" spans="1:52" s="185" customFormat="1" ht="15" customHeight="1" x14ac:dyDescent="0.25">
      <c r="A424" s="200"/>
      <c r="B424" s="211"/>
      <c r="C424" s="212">
        <f t="shared" si="58"/>
        <v>41.300000000000317</v>
      </c>
      <c r="D424" s="231">
        <f>15+[1]!STEPLOAD(5)</f>
        <v>20</v>
      </c>
      <c r="E424" s="212">
        <f t="shared" si="60"/>
        <v>40.79412675133608</v>
      </c>
      <c r="F424" s="212">
        <f t="shared" si="61"/>
        <v>0.5</v>
      </c>
      <c r="G424" s="212">
        <f>5</f>
        <v>5</v>
      </c>
      <c r="H424" s="212">
        <f t="shared" si="59"/>
        <v>48.369430081691732</v>
      </c>
      <c r="I424" s="212">
        <f t="shared" si="62"/>
        <v>0.9</v>
      </c>
      <c r="J424" s="212">
        <f>1</f>
        <v>1</v>
      </c>
      <c r="K424" s="212">
        <f t="shared" si="63"/>
        <v>4.1870000000000003</v>
      </c>
      <c r="L424" s="212"/>
      <c r="M424" s="212"/>
      <c r="N424" s="212"/>
      <c r="O424" s="212"/>
      <c r="P424" s="212"/>
      <c r="Q424" s="212"/>
      <c r="R424" s="212"/>
      <c r="S424" s="212"/>
      <c r="T424" s="212"/>
      <c r="U424" s="212"/>
      <c r="V424" s="212"/>
      <c r="W424" s="212"/>
      <c r="X424" s="212"/>
      <c r="Y424" s="212"/>
      <c r="Z424" s="212"/>
      <c r="AA424" s="212"/>
      <c r="AB424" s="212"/>
      <c r="AC424" s="196"/>
      <c r="AD424" s="27"/>
      <c r="AE424" s="213"/>
      <c r="AF424" s="212">
        <f t="shared" si="64"/>
        <v>-8.2543107415844474E-7</v>
      </c>
      <c r="AG424" s="212"/>
      <c r="AH424" s="212"/>
      <c r="AI424" s="212"/>
      <c r="AJ424" s="212"/>
      <c r="AK424" s="212"/>
      <c r="AL424" s="212"/>
      <c r="AM424" s="212"/>
      <c r="AN424" s="212"/>
      <c r="AO424" s="212"/>
      <c r="AP424" s="196"/>
      <c r="AQ424" s="196"/>
      <c r="AR424" s="211"/>
      <c r="AS424" s="212">
        <f t="shared" si="56"/>
        <v>-2.079733505411241E-8</v>
      </c>
      <c r="AT424" s="212">
        <f>[1]!LIM(AT423+Mode*r0*((1+IntegrationStep/2/Ti+Td/IntegrationStep)*AS424-(1-IntegrationStep/2/Ti+2*Td/IntegrationStep)*AS423+Td/IntegrationStep*AS422))</f>
        <v>0.4030785840140978</v>
      </c>
      <c r="AU424" s="212">
        <f t="shared" si="57"/>
        <v>40.794124671602574</v>
      </c>
      <c r="AW424" s="58"/>
      <c r="AX424" s="58"/>
      <c r="AY424" s="58"/>
      <c r="AZ424" s="58"/>
    </row>
    <row r="425" spans="1:52" s="185" customFormat="1" ht="15" customHeight="1" x14ac:dyDescent="0.25">
      <c r="A425" s="200"/>
      <c r="B425" s="211"/>
      <c r="C425" s="212">
        <f t="shared" si="58"/>
        <v>41.400000000000318</v>
      </c>
      <c r="D425" s="231">
        <f>15+[1]!STEPLOAD(5)</f>
        <v>20</v>
      </c>
      <c r="E425" s="212">
        <f t="shared" si="60"/>
        <v>40.79412666879297</v>
      </c>
      <c r="F425" s="212">
        <f t="shared" si="61"/>
        <v>0.5</v>
      </c>
      <c r="G425" s="212">
        <f>5</f>
        <v>5</v>
      </c>
      <c r="H425" s="212">
        <f t="shared" si="59"/>
        <v>48.369430650159842</v>
      </c>
      <c r="I425" s="212">
        <f t="shared" si="62"/>
        <v>0.9</v>
      </c>
      <c r="J425" s="212">
        <f>1</f>
        <v>1</v>
      </c>
      <c r="K425" s="212">
        <f t="shared" si="63"/>
        <v>4.1870000000000003</v>
      </c>
      <c r="L425" s="212"/>
      <c r="M425" s="212"/>
      <c r="N425" s="212"/>
      <c r="O425" s="212"/>
      <c r="P425" s="212"/>
      <c r="Q425" s="212"/>
      <c r="R425" s="212"/>
      <c r="S425" s="212"/>
      <c r="T425" s="212"/>
      <c r="U425" s="212"/>
      <c r="V425" s="212"/>
      <c r="W425" s="212"/>
      <c r="X425" s="212"/>
      <c r="Y425" s="212"/>
      <c r="Z425" s="212"/>
      <c r="AA425" s="212"/>
      <c r="AB425" s="212"/>
      <c r="AC425" s="196"/>
      <c r="AD425" s="27"/>
      <c r="AE425" s="213"/>
      <c r="AF425" s="212">
        <f t="shared" si="64"/>
        <v>-7.9273820041692034E-7</v>
      </c>
      <c r="AG425" s="212"/>
      <c r="AH425" s="212"/>
      <c r="AI425" s="212"/>
      <c r="AJ425" s="212"/>
      <c r="AK425" s="212"/>
      <c r="AL425" s="212"/>
      <c r="AM425" s="212"/>
      <c r="AN425" s="212"/>
      <c r="AO425" s="212"/>
      <c r="AP425" s="196"/>
      <c r="AQ425" s="196"/>
      <c r="AR425" s="211"/>
      <c r="AS425" s="212">
        <f t="shared" si="56"/>
        <v>-1.9971903952864523E-8</v>
      </c>
      <c r="AT425" s="212">
        <f>[1]!LIM(AT424+Mode*r0*((1+IntegrationStep/2/Ti+Td/IntegrationStep)*AS425-(1-IntegrationStep/2/Ti+2*Td/IntegrationStep)*AS424+Td/IntegrationStep*AS423))</f>
        <v>0.40307858875133201</v>
      </c>
      <c r="AU425" s="212">
        <f t="shared" si="57"/>
        <v>40.794124671602574</v>
      </c>
      <c r="AW425" s="58"/>
      <c r="AX425" s="58"/>
      <c r="AY425" s="58"/>
      <c r="AZ425" s="58"/>
    </row>
    <row r="426" spans="1:52" s="185" customFormat="1" ht="15" customHeight="1" x14ac:dyDescent="0.25">
      <c r="A426" s="200"/>
      <c r="B426" s="211"/>
      <c r="C426" s="212">
        <f t="shared" si="58"/>
        <v>41.50000000000032</v>
      </c>
      <c r="D426" s="231">
        <f>15+[1]!STEPLOAD(5)</f>
        <v>20</v>
      </c>
      <c r="E426" s="212">
        <f t="shared" si="60"/>
        <v>40.794126589519152</v>
      </c>
      <c r="F426" s="212">
        <f t="shared" si="61"/>
        <v>0.5</v>
      </c>
      <c r="G426" s="212">
        <f>5</f>
        <v>5</v>
      </c>
      <c r="H426" s="212">
        <f t="shared" si="59"/>
        <v>48.369431196189488</v>
      </c>
      <c r="I426" s="212">
        <f t="shared" si="62"/>
        <v>0.9</v>
      </c>
      <c r="J426" s="212">
        <f>1</f>
        <v>1</v>
      </c>
      <c r="K426" s="212">
        <f t="shared" si="63"/>
        <v>4.1870000000000003</v>
      </c>
      <c r="L426" s="212"/>
      <c r="M426" s="212"/>
      <c r="N426" s="212"/>
      <c r="O426" s="212"/>
      <c r="P426" s="212"/>
      <c r="Q426" s="212"/>
      <c r="R426" s="212"/>
      <c r="S426" s="212"/>
      <c r="T426" s="212"/>
      <c r="U426" s="212"/>
      <c r="V426" s="212"/>
      <c r="W426" s="212"/>
      <c r="X426" s="212"/>
      <c r="Y426" s="212"/>
      <c r="Z426" s="212"/>
      <c r="AA426" s="212"/>
      <c r="AB426" s="212"/>
      <c r="AC426" s="196"/>
      <c r="AD426" s="27"/>
      <c r="AE426" s="213"/>
      <c r="AF426" s="212">
        <f t="shared" si="64"/>
        <v>-7.613368908643281E-7</v>
      </c>
      <c r="AG426" s="212"/>
      <c r="AH426" s="212"/>
      <c r="AI426" s="212"/>
      <c r="AJ426" s="212"/>
      <c r="AK426" s="212"/>
      <c r="AL426" s="212"/>
      <c r="AM426" s="212"/>
      <c r="AN426" s="212"/>
      <c r="AO426" s="212"/>
      <c r="AP426" s="196"/>
      <c r="AQ426" s="196"/>
      <c r="AR426" s="211"/>
      <c r="AS426" s="212">
        <f t="shared" si="56"/>
        <v>-1.9179165775540242E-8</v>
      </c>
      <c r="AT426" s="212">
        <f>[1]!LIM(AT425+Mode*r0*((1+IntegrationStep/2/Ti+Td/IntegrationStep)*AS426-(1-IntegrationStep/2/Ti+2*Td/IntegrationStep)*AS425+Td/IntegrationStep*AS424))</f>
        <v>0.40307859330157908</v>
      </c>
      <c r="AU426" s="212">
        <f t="shared" si="57"/>
        <v>40.794124671602574</v>
      </c>
      <c r="AW426" s="58"/>
      <c r="AX426" s="58"/>
      <c r="AY426" s="58"/>
      <c r="AZ426" s="58"/>
    </row>
    <row r="427" spans="1:52" s="185" customFormat="1" ht="15" customHeight="1" x14ac:dyDescent="0.25">
      <c r="A427" s="200"/>
      <c r="B427" s="211"/>
      <c r="C427" s="212">
        <f t="shared" si="58"/>
        <v>41.600000000000321</v>
      </c>
      <c r="D427" s="231">
        <f>15+[1]!STEPLOAD(5)</f>
        <v>20</v>
      </c>
      <c r="E427" s="212">
        <f t="shared" si="60"/>
        <v>40.794126513385464</v>
      </c>
      <c r="F427" s="212">
        <f t="shared" si="61"/>
        <v>0.5</v>
      </c>
      <c r="G427" s="212">
        <f>5</f>
        <v>5</v>
      </c>
      <c r="H427" s="212">
        <f t="shared" si="59"/>
        <v>48.369431720663485</v>
      </c>
      <c r="I427" s="212">
        <f t="shared" si="62"/>
        <v>0.9</v>
      </c>
      <c r="J427" s="212">
        <f>1</f>
        <v>1</v>
      </c>
      <c r="K427" s="212">
        <f t="shared" si="63"/>
        <v>4.1870000000000003</v>
      </c>
      <c r="L427" s="212"/>
      <c r="M427" s="212"/>
      <c r="N427" s="212"/>
      <c r="O427" s="212"/>
      <c r="P427" s="212"/>
      <c r="Q427" s="212"/>
      <c r="R427" s="212"/>
      <c r="S427" s="212"/>
      <c r="T427" s="212"/>
      <c r="U427" s="212"/>
      <c r="V427" s="212"/>
      <c r="W427" s="212"/>
      <c r="X427" s="212"/>
      <c r="Y427" s="212"/>
      <c r="Z427" s="212"/>
      <c r="AA427" s="212"/>
      <c r="AB427" s="212"/>
      <c r="AC427" s="196"/>
      <c r="AD427" s="27"/>
      <c r="AE427" s="213"/>
      <c r="AF427" s="212">
        <f t="shared" si="64"/>
        <v>-7.3117627641394733E-7</v>
      </c>
      <c r="AG427" s="212"/>
      <c r="AH427" s="212"/>
      <c r="AI427" s="212"/>
      <c r="AJ427" s="212"/>
      <c r="AK427" s="212"/>
      <c r="AL427" s="212"/>
      <c r="AM427" s="212"/>
      <c r="AN427" s="212"/>
      <c r="AO427" s="212"/>
      <c r="AP427" s="196"/>
      <c r="AQ427" s="196"/>
      <c r="AR427" s="211"/>
      <c r="AS427" s="212">
        <f t="shared" si="56"/>
        <v>-1.84178288975545E-8</v>
      </c>
      <c r="AT427" s="212">
        <f>[1]!LIM(AT426+Mode*r0*((1+IntegrationStep/2/Ti+Td/IntegrationStep)*AS427-(1-IntegrationStep/2/Ti+2*Td/IntegrationStep)*AS426+Td/IntegrationStep*AS425))</f>
        <v>0.40307859767219573</v>
      </c>
      <c r="AU427" s="212">
        <f t="shared" si="57"/>
        <v>40.794124671602574</v>
      </c>
      <c r="AW427" s="58"/>
      <c r="AX427" s="58"/>
      <c r="AY427" s="58"/>
      <c r="AZ427" s="58"/>
    </row>
    <row r="428" spans="1:52" s="185" customFormat="1" ht="15" customHeight="1" x14ac:dyDescent="0.25">
      <c r="A428" s="200"/>
      <c r="B428" s="211"/>
      <c r="C428" s="212">
        <f t="shared" si="58"/>
        <v>41.700000000000323</v>
      </c>
      <c r="D428" s="231">
        <f>15+[1]!STEPLOAD(5)</f>
        <v>20</v>
      </c>
      <c r="E428" s="212">
        <f t="shared" si="60"/>
        <v>40.794126440267839</v>
      </c>
      <c r="F428" s="212">
        <f t="shared" si="61"/>
        <v>0.5</v>
      </c>
      <c r="G428" s="212">
        <f>5</f>
        <v>5</v>
      </c>
      <c r="H428" s="212">
        <f t="shared" si="59"/>
        <v>48.369432224429914</v>
      </c>
      <c r="I428" s="212">
        <f t="shared" si="62"/>
        <v>0.9</v>
      </c>
      <c r="J428" s="212">
        <f>1</f>
        <v>1</v>
      </c>
      <c r="K428" s="212">
        <f t="shared" si="63"/>
        <v>4.1870000000000003</v>
      </c>
      <c r="L428" s="212"/>
      <c r="M428" s="212"/>
      <c r="N428" s="212"/>
      <c r="O428" s="212"/>
      <c r="P428" s="212"/>
      <c r="Q428" s="212"/>
      <c r="R428" s="212"/>
      <c r="S428" s="212"/>
      <c r="T428" s="212"/>
      <c r="U428" s="212"/>
      <c r="V428" s="212"/>
      <c r="W428" s="212"/>
      <c r="X428" s="212"/>
      <c r="Y428" s="212"/>
      <c r="Z428" s="212"/>
      <c r="AA428" s="212"/>
      <c r="AB428" s="212"/>
      <c r="AC428" s="196"/>
      <c r="AD428" s="27"/>
      <c r="AE428" s="213"/>
      <c r="AF428" s="212">
        <f t="shared" si="64"/>
        <v>-7.0220748993321536E-7</v>
      </c>
      <c r="AG428" s="212"/>
      <c r="AH428" s="212"/>
      <c r="AI428" s="212"/>
      <c r="AJ428" s="212"/>
      <c r="AK428" s="212"/>
      <c r="AL428" s="212"/>
      <c r="AM428" s="212"/>
      <c r="AN428" s="212"/>
      <c r="AO428" s="212"/>
      <c r="AP428" s="196"/>
      <c r="AQ428" s="196"/>
      <c r="AR428" s="211"/>
      <c r="AS428" s="212">
        <f t="shared" si="56"/>
        <v>-1.7686652640236388E-8</v>
      </c>
      <c r="AT428" s="212">
        <f>[1]!LIM(AT427+Mode*r0*((1+IntegrationStep/2/Ti+Td/IntegrationStep)*AS428-(1-IntegrationStep/2/Ti+2*Td/IntegrationStep)*AS427+Td/IntegrationStep*AS426))</f>
        <v>0.4030786018702493</v>
      </c>
      <c r="AU428" s="212">
        <f t="shared" si="57"/>
        <v>40.794124671602574</v>
      </c>
      <c r="AW428" s="58"/>
      <c r="AX428" s="58"/>
      <c r="AY428" s="58"/>
      <c r="AZ428" s="58"/>
    </row>
    <row r="429" spans="1:52" s="185" customFormat="1" ht="15" customHeight="1" x14ac:dyDescent="0.25">
      <c r="A429" s="200"/>
      <c r="B429" s="211"/>
      <c r="C429" s="212">
        <f t="shared" si="58"/>
        <v>41.800000000000324</v>
      </c>
      <c r="D429" s="231">
        <f>15+[1]!STEPLOAD(5)</f>
        <v>20</v>
      </c>
      <c r="E429" s="212">
        <f t="shared" si="60"/>
        <v>40.794126370047088</v>
      </c>
      <c r="F429" s="212">
        <f t="shared" si="61"/>
        <v>0.5</v>
      </c>
      <c r="G429" s="212">
        <f>5</f>
        <v>5</v>
      </c>
      <c r="H429" s="212">
        <f t="shared" si="59"/>
        <v>48.369432708303719</v>
      </c>
      <c r="I429" s="212">
        <f t="shared" si="62"/>
        <v>0.9</v>
      </c>
      <c r="J429" s="212">
        <f>1</f>
        <v>1</v>
      </c>
      <c r="K429" s="212">
        <f t="shared" si="63"/>
        <v>4.1870000000000003</v>
      </c>
      <c r="L429" s="212"/>
      <c r="M429" s="212"/>
      <c r="N429" s="212"/>
      <c r="O429" s="212"/>
      <c r="P429" s="212"/>
      <c r="Q429" s="212"/>
      <c r="R429" s="212"/>
      <c r="S429" s="212"/>
      <c r="T429" s="212"/>
      <c r="U429" s="212"/>
      <c r="V429" s="212"/>
      <c r="W429" s="212"/>
      <c r="X429" s="212"/>
      <c r="Y429" s="212"/>
      <c r="Z429" s="212"/>
      <c r="AA429" s="212"/>
      <c r="AB429" s="212"/>
      <c r="AC429" s="196"/>
      <c r="AD429" s="27"/>
      <c r="AE429" s="213"/>
      <c r="AF429" s="212">
        <f t="shared" si="64"/>
        <v>-6.7438357920224234E-7</v>
      </c>
      <c r="AG429" s="212"/>
      <c r="AH429" s="212"/>
      <c r="AI429" s="212"/>
      <c r="AJ429" s="212"/>
      <c r="AK429" s="212"/>
      <c r="AL429" s="212"/>
      <c r="AM429" s="212"/>
      <c r="AN429" s="212"/>
      <c r="AO429" s="212"/>
      <c r="AP429" s="196"/>
      <c r="AQ429" s="196"/>
      <c r="AR429" s="211"/>
      <c r="AS429" s="212">
        <f t="shared" si="56"/>
        <v>-1.6984445139200943E-8</v>
      </c>
      <c r="AT429" s="212">
        <f>[1]!LIM(AT428+Mode*r0*((1+IntegrationStep/2/Ti+Td/IntegrationStep)*AS429-(1-IntegrationStep/2/Ti+2*Td/IntegrationStep)*AS428+Td/IntegrationStep*AS427))</f>
        <v>0.40307860590253097</v>
      </c>
      <c r="AU429" s="212">
        <f t="shared" si="57"/>
        <v>40.794124671602574</v>
      </c>
      <c r="AW429" s="58"/>
      <c r="AX429" s="58"/>
      <c r="AY429" s="58"/>
      <c r="AZ429" s="58"/>
    </row>
    <row r="430" spans="1:52" s="185" customFormat="1" ht="15" customHeight="1" x14ac:dyDescent="0.25">
      <c r="A430" s="200"/>
      <c r="B430" s="211"/>
      <c r="C430" s="212">
        <f t="shared" si="58"/>
        <v>41.900000000000325</v>
      </c>
      <c r="D430" s="231">
        <f>15+[1]!STEPLOAD(5)</f>
        <v>20</v>
      </c>
      <c r="E430" s="212">
        <f t="shared" si="60"/>
        <v>40.794126302608731</v>
      </c>
      <c r="F430" s="212">
        <f t="shared" si="61"/>
        <v>0.5</v>
      </c>
      <c r="G430" s="212">
        <f>5</f>
        <v>5</v>
      </c>
      <c r="H430" s="212">
        <f t="shared" si="59"/>
        <v>48.369433173067748</v>
      </c>
      <c r="I430" s="212">
        <f t="shared" si="62"/>
        <v>0.9</v>
      </c>
      <c r="J430" s="212">
        <f>1</f>
        <v>1</v>
      </c>
      <c r="K430" s="212">
        <f t="shared" si="63"/>
        <v>4.1870000000000003</v>
      </c>
      <c r="L430" s="212"/>
      <c r="M430" s="212"/>
      <c r="N430" s="212"/>
      <c r="O430" s="212"/>
      <c r="P430" s="212"/>
      <c r="Q430" s="212"/>
      <c r="R430" s="212"/>
      <c r="S430" s="212"/>
      <c r="T430" s="212"/>
      <c r="U430" s="212"/>
      <c r="V430" s="212"/>
      <c r="W430" s="212"/>
      <c r="X430" s="212"/>
      <c r="Y430" s="212"/>
      <c r="Z430" s="212"/>
      <c r="AA430" s="212"/>
      <c r="AB430" s="212"/>
      <c r="AC430" s="196"/>
      <c r="AD430" s="27"/>
      <c r="AE430" s="213"/>
      <c r="AF430" s="212">
        <f t="shared" si="64"/>
        <v>-6.4765944207678672E-7</v>
      </c>
      <c r="AG430" s="212"/>
      <c r="AH430" s="212"/>
      <c r="AI430" s="212"/>
      <c r="AJ430" s="212"/>
      <c r="AK430" s="212"/>
      <c r="AL430" s="212"/>
      <c r="AM430" s="212"/>
      <c r="AN430" s="212"/>
      <c r="AO430" s="212"/>
      <c r="AP430" s="196"/>
      <c r="AQ430" s="196"/>
      <c r="AR430" s="211"/>
      <c r="AS430" s="212">
        <f t="shared" si="56"/>
        <v>-1.6310061567992307E-8</v>
      </c>
      <c r="AT430" s="212">
        <f>[1]!LIM(AT429+Mode*r0*((1+IntegrationStep/2/Ti+Td/IntegrationStep)*AS430-(1-IntegrationStep/2/Ti+2*Td/IntegrationStep)*AS429+Td/IntegrationStep*AS428))</f>
        <v>0.40307860977556453</v>
      </c>
      <c r="AU430" s="212">
        <f t="shared" si="57"/>
        <v>40.794124671602574</v>
      </c>
      <c r="AW430" s="58"/>
      <c r="AX430" s="58"/>
      <c r="AY430" s="58"/>
      <c r="AZ430" s="58"/>
    </row>
    <row r="431" spans="1:52" s="185" customFormat="1" ht="15" customHeight="1" x14ac:dyDescent="0.25">
      <c r="A431" s="200"/>
      <c r="B431" s="211"/>
      <c r="C431" s="212">
        <f t="shared" si="58"/>
        <v>42.000000000000327</v>
      </c>
      <c r="D431" s="231">
        <f>15+[1]!STEPLOAD(5)</f>
        <v>20</v>
      </c>
      <c r="E431" s="212">
        <f t="shared" si="60"/>
        <v>40.794126237842789</v>
      </c>
      <c r="F431" s="212">
        <f t="shared" si="61"/>
        <v>0.5</v>
      </c>
      <c r="G431" s="212">
        <f>5</f>
        <v>5</v>
      </c>
      <c r="H431" s="212">
        <f t="shared" si="59"/>
        <v>48.369433619474265</v>
      </c>
      <c r="I431" s="212">
        <f t="shared" si="62"/>
        <v>0.9</v>
      </c>
      <c r="J431" s="212">
        <f>1</f>
        <v>1</v>
      </c>
      <c r="K431" s="212">
        <f t="shared" si="63"/>
        <v>4.1870000000000003</v>
      </c>
      <c r="L431" s="212"/>
      <c r="M431" s="212"/>
      <c r="N431" s="212"/>
      <c r="O431" s="212"/>
      <c r="P431" s="212"/>
      <c r="Q431" s="212"/>
      <c r="R431" s="212"/>
      <c r="S431" s="212"/>
      <c r="T431" s="212"/>
      <c r="U431" s="212"/>
      <c r="V431" s="212"/>
      <c r="W431" s="212"/>
      <c r="X431" s="212"/>
      <c r="Y431" s="212"/>
      <c r="Z431" s="212"/>
      <c r="AA431" s="212"/>
      <c r="AB431" s="212"/>
      <c r="AC431" s="196"/>
      <c r="AD431" s="27"/>
      <c r="AE431" s="213"/>
      <c r="AF431" s="212">
        <f t="shared" si="64"/>
        <v>-6.2199173855859158E-7</v>
      </c>
      <c r="AG431" s="212"/>
      <c r="AH431" s="212"/>
      <c r="AI431" s="212"/>
      <c r="AJ431" s="212"/>
      <c r="AK431" s="212"/>
      <c r="AL431" s="212"/>
      <c r="AM431" s="212"/>
      <c r="AN431" s="212"/>
      <c r="AO431" s="212"/>
      <c r="AP431" s="196"/>
      <c r="AQ431" s="196"/>
      <c r="AR431" s="211"/>
      <c r="AS431" s="212">
        <f t="shared" si="56"/>
        <v>-1.5662402148564071E-8</v>
      </c>
      <c r="AT431" s="212">
        <f>[1]!LIM(AT430+Mode*r0*((1+IntegrationStep/2/Ti+Td/IntegrationStep)*AS431-(1-IntegrationStep/2/Ti+2*Td/IntegrationStep)*AS430+Td/IntegrationStep*AS429))</f>
        <v>0.40307861349561885</v>
      </c>
      <c r="AU431" s="212">
        <f t="shared" si="57"/>
        <v>40.794124671602574</v>
      </c>
      <c r="AW431" s="58"/>
      <c r="AX431" s="58"/>
      <c r="AY431" s="58"/>
      <c r="AZ431" s="58"/>
    </row>
    <row r="432" spans="1:52" s="185" customFormat="1" ht="15" customHeight="1" x14ac:dyDescent="0.25">
      <c r="A432" s="200"/>
      <c r="B432" s="211"/>
      <c r="C432" s="212">
        <f t="shared" si="58"/>
        <v>42.100000000000328</v>
      </c>
      <c r="D432" s="231">
        <f>15+[1]!STEPLOAD(5)</f>
        <v>20</v>
      </c>
      <c r="E432" s="212">
        <f t="shared" si="60"/>
        <v>40.794126175643612</v>
      </c>
      <c r="F432" s="212">
        <f t="shared" si="61"/>
        <v>0.5</v>
      </c>
      <c r="G432" s="212">
        <f>5</f>
        <v>5</v>
      </c>
      <c r="H432" s="212">
        <f t="shared" si="59"/>
        <v>48.369434048246177</v>
      </c>
      <c r="I432" s="212">
        <f t="shared" si="62"/>
        <v>0.9</v>
      </c>
      <c r="J432" s="212">
        <f>1</f>
        <v>1</v>
      </c>
      <c r="K432" s="212">
        <f t="shared" si="63"/>
        <v>4.1870000000000003</v>
      </c>
      <c r="L432" s="212"/>
      <c r="M432" s="212"/>
      <c r="N432" s="212"/>
      <c r="O432" s="212"/>
      <c r="P432" s="212"/>
      <c r="Q432" s="212"/>
      <c r="R432" s="212"/>
      <c r="S432" s="212"/>
      <c r="T432" s="212"/>
      <c r="U432" s="212"/>
      <c r="V432" s="212"/>
      <c r="W432" s="212"/>
      <c r="X432" s="212"/>
      <c r="Y432" s="212"/>
      <c r="Z432" s="212"/>
      <c r="AA432" s="212"/>
      <c r="AB432" s="212"/>
      <c r="AC432" s="196"/>
      <c r="AD432" s="27"/>
      <c r="AE432" s="213"/>
      <c r="AF432" s="212">
        <f t="shared" si="64"/>
        <v>-5.9733882729062771E-7</v>
      </c>
      <c r="AG432" s="212"/>
      <c r="AH432" s="212"/>
      <c r="AI432" s="212"/>
      <c r="AJ432" s="212"/>
      <c r="AK432" s="212"/>
      <c r="AL432" s="212"/>
      <c r="AM432" s="212"/>
      <c r="AN432" s="212"/>
      <c r="AO432" s="212"/>
      <c r="AP432" s="196"/>
      <c r="AQ432" s="196"/>
      <c r="AR432" s="211"/>
      <c r="AS432" s="212">
        <f t="shared" si="56"/>
        <v>-1.5040410374922431E-8</v>
      </c>
      <c r="AT432" s="212">
        <f>[1]!LIM(AT431+Mode*r0*((1+IntegrationStep/2/Ti+Td/IntegrationStep)*AS432-(1-IntegrationStep/2/Ti+2*Td/IntegrationStep)*AS431+Td/IntegrationStep*AS430))</f>
        <v>0.40307861706871811</v>
      </c>
      <c r="AU432" s="212">
        <f t="shared" si="57"/>
        <v>40.794124671602574</v>
      </c>
      <c r="AW432" s="58"/>
      <c r="AX432" s="58"/>
      <c r="AY432" s="58"/>
      <c r="AZ432" s="58"/>
    </row>
    <row r="433" spans="1:52" s="185" customFormat="1" ht="15" customHeight="1" x14ac:dyDescent="0.25">
      <c r="A433" s="200"/>
      <c r="B433" s="211"/>
      <c r="C433" s="212">
        <f t="shared" si="58"/>
        <v>42.20000000000033</v>
      </c>
      <c r="D433" s="231">
        <f>15+[1]!STEPLOAD(5)</f>
        <v>20</v>
      </c>
      <c r="E433" s="212">
        <f t="shared" si="60"/>
        <v>40.794126115909727</v>
      </c>
      <c r="F433" s="212">
        <f t="shared" si="61"/>
        <v>0.5</v>
      </c>
      <c r="G433" s="212">
        <f>5</f>
        <v>5</v>
      </c>
      <c r="H433" s="212">
        <f t="shared" si="59"/>
        <v>48.36943446007777</v>
      </c>
      <c r="I433" s="212">
        <f t="shared" si="62"/>
        <v>0.9</v>
      </c>
      <c r="J433" s="212">
        <f>1</f>
        <v>1</v>
      </c>
      <c r="K433" s="212">
        <f t="shared" si="63"/>
        <v>4.1870000000000003</v>
      </c>
      <c r="L433" s="212"/>
      <c r="M433" s="212"/>
      <c r="N433" s="212"/>
      <c r="O433" s="212"/>
      <c r="P433" s="212"/>
      <c r="Q433" s="212"/>
      <c r="R433" s="212"/>
      <c r="S433" s="212"/>
      <c r="T433" s="212"/>
      <c r="U433" s="212"/>
      <c r="V433" s="212"/>
      <c r="W433" s="212"/>
      <c r="X433" s="212"/>
      <c r="Y433" s="212"/>
      <c r="Z433" s="212"/>
      <c r="AA433" s="212"/>
      <c r="AB433" s="212"/>
      <c r="AC433" s="196"/>
      <c r="AD433" s="27"/>
      <c r="AE433" s="213"/>
      <c r="AF433" s="212">
        <f t="shared" si="64"/>
        <v>-5.7366071226638837E-7</v>
      </c>
      <c r="AG433" s="212"/>
      <c r="AH433" s="212"/>
      <c r="AI433" s="212"/>
      <c r="AJ433" s="212"/>
      <c r="AK433" s="212"/>
      <c r="AL433" s="212"/>
      <c r="AM433" s="212"/>
      <c r="AN433" s="212"/>
      <c r="AO433" s="212"/>
      <c r="AP433" s="196"/>
      <c r="AQ433" s="196"/>
      <c r="AR433" s="211"/>
      <c r="AS433" s="212">
        <f t="shared" si="56"/>
        <v>-1.4443071520986451E-8</v>
      </c>
      <c r="AT433" s="212">
        <f>[1]!LIM(AT432+Mode*r0*((1+IntegrationStep/2/Ti+Td/IntegrationStep)*AS433-(1-IntegrationStep/2/Ti+2*Td/IntegrationStep)*AS432+Td/IntegrationStep*AS431))</f>
        <v>0.40307862050064808</v>
      </c>
      <c r="AU433" s="212">
        <f t="shared" si="57"/>
        <v>40.794124671602574</v>
      </c>
      <c r="AW433" s="58"/>
      <c r="AX433" s="58"/>
      <c r="AY433" s="58"/>
      <c r="AZ433" s="58"/>
    </row>
    <row r="434" spans="1:52" s="185" customFormat="1" ht="15" customHeight="1" x14ac:dyDescent="0.25">
      <c r="A434" s="200"/>
      <c r="B434" s="211"/>
      <c r="C434" s="212">
        <f t="shared" si="58"/>
        <v>42.300000000000331</v>
      </c>
      <c r="D434" s="231">
        <f>15+[1]!STEPLOAD(5)</f>
        <v>20</v>
      </c>
      <c r="E434" s="212">
        <f t="shared" si="60"/>
        <v>40.794126058543654</v>
      </c>
      <c r="F434" s="212">
        <f t="shared" si="61"/>
        <v>0.5</v>
      </c>
      <c r="G434" s="212">
        <f>5</f>
        <v>5</v>
      </c>
      <c r="H434" s="212">
        <f t="shared" si="59"/>
        <v>48.369434855636229</v>
      </c>
      <c r="I434" s="212">
        <f t="shared" si="62"/>
        <v>0.9</v>
      </c>
      <c r="J434" s="212">
        <f>1</f>
        <v>1</v>
      </c>
      <c r="K434" s="212">
        <f t="shared" si="63"/>
        <v>4.1870000000000003</v>
      </c>
      <c r="L434" s="212"/>
      <c r="M434" s="212"/>
      <c r="N434" s="212"/>
      <c r="O434" s="212"/>
      <c r="P434" s="212"/>
      <c r="Q434" s="212"/>
      <c r="R434" s="212"/>
      <c r="S434" s="212"/>
      <c r="T434" s="212"/>
      <c r="U434" s="212"/>
      <c r="V434" s="212"/>
      <c r="W434" s="212"/>
      <c r="X434" s="212"/>
      <c r="Y434" s="212"/>
      <c r="Z434" s="212"/>
      <c r="AA434" s="212"/>
      <c r="AB434" s="212"/>
      <c r="AC434" s="196"/>
      <c r="AD434" s="27"/>
      <c r="AE434" s="213"/>
      <c r="AF434" s="212">
        <f t="shared" si="64"/>
        <v>-5.5091896511427763E-7</v>
      </c>
      <c r="AG434" s="212"/>
      <c r="AH434" s="212"/>
      <c r="AI434" s="212"/>
      <c r="AJ434" s="212"/>
      <c r="AK434" s="212"/>
      <c r="AL434" s="212"/>
      <c r="AM434" s="212"/>
      <c r="AN434" s="212"/>
      <c r="AO434" s="212"/>
      <c r="AP434" s="196"/>
      <c r="AQ434" s="196"/>
      <c r="AR434" s="211"/>
      <c r="AS434" s="212">
        <f t="shared" si="56"/>
        <v>-1.386941079317694E-8</v>
      </c>
      <c r="AT434" s="212">
        <f>[1]!LIM(AT433+Mode*r0*((1+IntegrationStep/2/Ti+Td/IntegrationStep)*AS434-(1-IntegrationStep/2/Ti+2*Td/IntegrationStep)*AS433+Td/IntegrationStep*AS432))</f>
        <v>0.40307862379696857</v>
      </c>
      <c r="AU434" s="212">
        <f t="shared" si="57"/>
        <v>40.794124671602574</v>
      </c>
      <c r="AW434" s="58"/>
      <c r="AX434" s="58"/>
      <c r="AY434" s="58"/>
      <c r="AZ434" s="58"/>
    </row>
    <row r="435" spans="1:52" s="185" customFormat="1" ht="15" customHeight="1" x14ac:dyDescent="0.25">
      <c r="A435" s="200"/>
      <c r="B435" s="211"/>
      <c r="C435" s="212">
        <f t="shared" si="58"/>
        <v>42.400000000000333</v>
      </c>
      <c r="D435" s="231">
        <f>15+[1]!STEPLOAD(5)</f>
        <v>20</v>
      </c>
      <c r="E435" s="212">
        <f t="shared" si="60"/>
        <v>40.794126003451758</v>
      </c>
      <c r="F435" s="212">
        <f t="shared" si="61"/>
        <v>0.5</v>
      </c>
      <c r="G435" s="212">
        <f>5</f>
        <v>5</v>
      </c>
      <c r="H435" s="212">
        <f t="shared" si="59"/>
        <v>48.369435235562541</v>
      </c>
      <c r="I435" s="212">
        <f t="shared" si="62"/>
        <v>0.9</v>
      </c>
      <c r="J435" s="212">
        <f>1</f>
        <v>1</v>
      </c>
      <c r="K435" s="212">
        <f t="shared" si="63"/>
        <v>4.1870000000000003</v>
      </c>
      <c r="L435" s="212"/>
      <c r="M435" s="212"/>
      <c r="N435" s="212"/>
      <c r="O435" s="212"/>
      <c r="P435" s="212"/>
      <c r="Q435" s="212"/>
      <c r="R435" s="212"/>
      <c r="S435" s="212"/>
      <c r="T435" s="212"/>
      <c r="U435" s="212"/>
      <c r="V435" s="212"/>
      <c r="W435" s="212"/>
      <c r="X435" s="212"/>
      <c r="Y435" s="212"/>
      <c r="Z435" s="212"/>
      <c r="AA435" s="212"/>
      <c r="AB435" s="212"/>
      <c r="AC435" s="196"/>
      <c r="AD435" s="27"/>
      <c r="AE435" s="213"/>
      <c r="AF435" s="212">
        <f t="shared" si="64"/>
        <v>-5.2907666470147774E-7</v>
      </c>
      <c r="AG435" s="212"/>
      <c r="AH435" s="212"/>
      <c r="AI435" s="212"/>
      <c r="AJ435" s="212"/>
      <c r="AK435" s="212"/>
      <c r="AL435" s="212"/>
      <c r="AM435" s="212"/>
      <c r="AN435" s="212"/>
      <c r="AO435" s="212"/>
      <c r="AP435" s="196"/>
      <c r="AQ435" s="196"/>
      <c r="AR435" s="211"/>
      <c r="AS435" s="212">
        <f t="shared" si="56"/>
        <v>-1.3318491838276714E-8</v>
      </c>
      <c r="AT435" s="212">
        <f>[1]!LIM(AT434+Mode*r0*((1+IntegrationStep/2/Ti+Td/IntegrationStep)*AS435-(1-IntegrationStep/2/Ti+2*Td/IntegrationStep)*AS434+Td/IntegrationStep*AS433))</f>
        <v>0.40307862696302116</v>
      </c>
      <c r="AU435" s="212">
        <f t="shared" si="57"/>
        <v>40.794124671602574</v>
      </c>
      <c r="AW435" s="58"/>
      <c r="AX435" s="58"/>
      <c r="AY435" s="58"/>
      <c r="AZ435" s="58"/>
    </row>
    <row r="436" spans="1:52" s="185" customFormat="1" ht="15" customHeight="1" x14ac:dyDescent="0.25">
      <c r="A436" s="200"/>
      <c r="B436" s="211"/>
      <c r="C436" s="212">
        <f t="shared" si="58"/>
        <v>42.500000000000334</v>
      </c>
      <c r="D436" s="231">
        <f>15+[1]!STEPLOAD(5)</f>
        <v>20</v>
      </c>
      <c r="E436" s="212">
        <f t="shared" si="60"/>
        <v>40.794125950544093</v>
      </c>
      <c r="F436" s="212">
        <f t="shared" si="61"/>
        <v>0.5</v>
      </c>
      <c r="G436" s="212">
        <f>5</f>
        <v>5</v>
      </c>
      <c r="H436" s="212">
        <f t="shared" si="59"/>
        <v>48.369435600472613</v>
      </c>
      <c r="I436" s="212">
        <f t="shared" si="62"/>
        <v>0.9</v>
      </c>
      <c r="J436" s="212">
        <f>1</f>
        <v>1</v>
      </c>
      <c r="K436" s="212">
        <f t="shared" si="63"/>
        <v>4.1870000000000003</v>
      </c>
      <c r="L436" s="212"/>
      <c r="M436" s="212"/>
      <c r="N436" s="212"/>
      <c r="O436" s="212"/>
      <c r="P436" s="212"/>
      <c r="Q436" s="212"/>
      <c r="R436" s="212"/>
      <c r="S436" s="212"/>
      <c r="T436" s="212"/>
      <c r="U436" s="212"/>
      <c r="V436" s="212"/>
      <c r="W436" s="212"/>
      <c r="X436" s="212"/>
      <c r="Y436" s="212"/>
      <c r="Z436" s="212"/>
      <c r="AA436" s="212"/>
      <c r="AB436" s="212"/>
      <c r="AC436" s="196"/>
      <c r="AD436" s="27"/>
      <c r="AE436" s="213"/>
      <c r="AF436" s="212">
        <f t="shared" si="64"/>
        <v>-5.0809833807008431E-7</v>
      </c>
      <c r="AG436" s="212"/>
      <c r="AH436" s="212"/>
      <c r="AI436" s="212"/>
      <c r="AJ436" s="212"/>
      <c r="AK436" s="212"/>
      <c r="AL436" s="212"/>
      <c r="AM436" s="212"/>
      <c r="AN436" s="212"/>
      <c r="AO436" s="212"/>
      <c r="AP436" s="196"/>
      <c r="AQ436" s="196"/>
      <c r="AR436" s="211"/>
      <c r="AS436" s="212">
        <f t="shared" si="56"/>
        <v>-1.2789415180236574E-8</v>
      </c>
      <c r="AT436" s="212">
        <f>[1]!LIM(AT435+Mode*r0*((1+IntegrationStep/2/Ti+Td/IntegrationStep)*AS436-(1-IntegrationStep/2/Ti+2*Td/IntegrationStep)*AS435+Td/IntegrationStep*AS434))</f>
        <v>0.40307863000393845</v>
      </c>
      <c r="AU436" s="212">
        <f t="shared" si="57"/>
        <v>40.794124671602574</v>
      </c>
      <c r="AW436" s="58"/>
      <c r="AX436" s="58"/>
      <c r="AY436" s="58"/>
      <c r="AZ436" s="58"/>
    </row>
    <row r="437" spans="1:52" s="185" customFormat="1" ht="15" customHeight="1" x14ac:dyDescent="0.25">
      <c r="A437" s="200"/>
      <c r="B437" s="211"/>
      <c r="C437" s="212">
        <f t="shared" si="58"/>
        <v>42.600000000000335</v>
      </c>
      <c r="D437" s="231">
        <f>15+[1]!STEPLOAD(5)</f>
        <v>20</v>
      </c>
      <c r="E437" s="212">
        <f t="shared" si="60"/>
        <v>40.794125899734262</v>
      </c>
      <c r="F437" s="212">
        <f t="shared" si="61"/>
        <v>0.5</v>
      </c>
      <c r="G437" s="212">
        <f>5</f>
        <v>5</v>
      </c>
      <c r="H437" s="212">
        <f t="shared" si="59"/>
        <v>48.369435950958099</v>
      </c>
      <c r="I437" s="212">
        <f t="shared" si="62"/>
        <v>0.9</v>
      </c>
      <c r="J437" s="212">
        <f>1</f>
        <v>1</v>
      </c>
      <c r="K437" s="212">
        <f t="shared" si="63"/>
        <v>4.1870000000000003</v>
      </c>
      <c r="L437" s="212"/>
      <c r="M437" s="212"/>
      <c r="N437" s="212"/>
      <c r="O437" s="212"/>
      <c r="P437" s="212"/>
      <c r="Q437" s="212"/>
      <c r="R437" s="212"/>
      <c r="S437" s="212"/>
      <c r="T437" s="212"/>
      <c r="U437" s="212"/>
      <c r="V437" s="212"/>
      <c r="W437" s="212"/>
      <c r="X437" s="212"/>
      <c r="Y437" s="212"/>
      <c r="Z437" s="212"/>
      <c r="AA437" s="212"/>
      <c r="AB437" s="212"/>
      <c r="AC437" s="196"/>
      <c r="AD437" s="27"/>
      <c r="AE437" s="213"/>
      <c r="AF437" s="212">
        <f t="shared" si="64"/>
        <v>-4.8794991114320396E-7</v>
      </c>
      <c r="AG437" s="212"/>
      <c r="AH437" s="212"/>
      <c r="AI437" s="212"/>
      <c r="AJ437" s="212"/>
      <c r="AK437" s="212"/>
      <c r="AL437" s="212"/>
      <c r="AM437" s="212"/>
      <c r="AN437" s="212"/>
      <c r="AO437" s="212"/>
      <c r="AP437" s="196"/>
      <c r="AQ437" s="196"/>
      <c r="AR437" s="211"/>
      <c r="AS437" s="212">
        <f t="shared" si="56"/>
        <v>-1.228131687014411E-8</v>
      </c>
      <c r="AT437" s="212">
        <f>[1]!LIM(AT436+Mode*r0*((1+IntegrationStep/2/Ti+Td/IntegrationStep)*AS437-(1-IntegrationStep/2/Ti+2*Td/IntegrationStep)*AS436+Td/IntegrationStep*AS435))</f>
        <v>0.40307863292465085</v>
      </c>
      <c r="AU437" s="212">
        <f t="shared" si="57"/>
        <v>40.794124671602574</v>
      </c>
      <c r="AW437" s="58"/>
      <c r="AX437" s="58"/>
      <c r="AY437" s="58"/>
      <c r="AZ437" s="58"/>
    </row>
    <row r="438" spans="1:52" s="185" customFormat="1" ht="15" customHeight="1" x14ac:dyDescent="0.25">
      <c r="A438" s="200"/>
      <c r="B438" s="211"/>
      <c r="C438" s="212">
        <f t="shared" si="58"/>
        <v>42.700000000000337</v>
      </c>
      <c r="D438" s="231">
        <f>15+[1]!STEPLOAD(5)</f>
        <v>20</v>
      </c>
      <c r="E438" s="212">
        <f t="shared" si="60"/>
        <v>40.794125850939274</v>
      </c>
      <c r="F438" s="212">
        <f t="shared" si="61"/>
        <v>0.5</v>
      </c>
      <c r="G438" s="212">
        <f>5</f>
        <v>5</v>
      </c>
      <c r="H438" s="212">
        <f t="shared" si="59"/>
        <v>48.36943628758749</v>
      </c>
      <c r="I438" s="212">
        <f t="shared" si="62"/>
        <v>0.9</v>
      </c>
      <c r="J438" s="212">
        <f>1</f>
        <v>1</v>
      </c>
      <c r="K438" s="212">
        <f t="shared" si="63"/>
        <v>4.1870000000000003</v>
      </c>
      <c r="L438" s="212"/>
      <c r="M438" s="212"/>
      <c r="N438" s="212"/>
      <c r="O438" s="212"/>
      <c r="P438" s="212"/>
      <c r="Q438" s="212"/>
      <c r="R438" s="212"/>
      <c r="S438" s="212"/>
      <c r="T438" s="212"/>
      <c r="U438" s="212"/>
      <c r="V438" s="212"/>
      <c r="W438" s="212"/>
      <c r="X438" s="212"/>
      <c r="Y438" s="212"/>
      <c r="Z438" s="212"/>
      <c r="AA438" s="212"/>
      <c r="AB438" s="212"/>
      <c r="AC438" s="196"/>
      <c r="AD438" s="27"/>
      <c r="AE438" s="213"/>
      <c r="AF438" s="212">
        <f t="shared" si="64"/>
        <v>-4.6859864477610813E-7</v>
      </c>
      <c r="AG438" s="212"/>
      <c r="AH438" s="212"/>
      <c r="AI438" s="212"/>
      <c r="AJ438" s="212"/>
      <c r="AK438" s="212"/>
      <c r="AL438" s="212"/>
      <c r="AM438" s="212"/>
      <c r="AN438" s="212"/>
      <c r="AO438" s="212"/>
      <c r="AP438" s="196"/>
      <c r="AQ438" s="196"/>
      <c r="AR438" s="211"/>
      <c r="AS438" s="212">
        <f t="shared" si="56"/>
        <v>-1.1793366994083954E-8</v>
      </c>
      <c r="AT438" s="212">
        <f>[1]!LIM(AT437+Mode*r0*((1+IntegrationStep/2/Ti+Td/IntegrationStep)*AS438-(1-IntegrationStep/2/Ti+2*Td/IntegrationStep)*AS437+Td/IntegrationStep*AS436))</f>
        <v>0.40307863572989577</v>
      </c>
      <c r="AU438" s="212">
        <f t="shared" si="57"/>
        <v>40.794124671602574</v>
      </c>
      <c r="AW438" s="58"/>
      <c r="AX438" s="58"/>
      <c r="AY438" s="58"/>
      <c r="AZ438" s="58"/>
    </row>
    <row r="439" spans="1:52" s="185" customFormat="1" ht="15" customHeight="1" x14ac:dyDescent="0.25">
      <c r="A439" s="200"/>
      <c r="B439" s="211"/>
      <c r="C439" s="212">
        <f t="shared" si="58"/>
        <v>42.800000000000338</v>
      </c>
      <c r="D439" s="231">
        <f>15+[1]!STEPLOAD(5)</f>
        <v>20</v>
      </c>
      <c r="E439" s="212">
        <f t="shared" si="60"/>
        <v>40.794125804079407</v>
      </c>
      <c r="F439" s="212">
        <f t="shared" si="61"/>
        <v>0.5</v>
      </c>
      <c r="G439" s="212">
        <f>5</f>
        <v>5</v>
      </c>
      <c r="H439" s="212">
        <f t="shared" si="59"/>
        <v>48.369436610907059</v>
      </c>
      <c r="I439" s="212">
        <f t="shared" si="62"/>
        <v>0.9</v>
      </c>
      <c r="J439" s="212">
        <f>1</f>
        <v>1</v>
      </c>
      <c r="K439" s="212">
        <f t="shared" si="63"/>
        <v>4.1870000000000003</v>
      </c>
      <c r="L439" s="212"/>
      <c r="M439" s="212"/>
      <c r="N439" s="212"/>
      <c r="O439" s="212"/>
      <c r="P439" s="212"/>
      <c r="Q439" s="212"/>
      <c r="R439" s="212"/>
      <c r="S439" s="212"/>
      <c r="T439" s="212"/>
      <c r="U439" s="212"/>
      <c r="V439" s="212"/>
      <c r="W439" s="212"/>
      <c r="X439" s="212"/>
      <c r="Y439" s="212"/>
      <c r="Z439" s="212"/>
      <c r="AA439" s="212"/>
      <c r="AB439" s="212"/>
      <c r="AC439" s="196"/>
      <c r="AD439" s="27"/>
      <c r="AE439" s="213"/>
      <c r="AF439" s="212">
        <f t="shared" si="64"/>
        <v>-4.5001308279779551E-7</v>
      </c>
      <c r="AG439" s="212"/>
      <c r="AH439" s="212"/>
      <c r="AI439" s="212"/>
      <c r="AJ439" s="212"/>
      <c r="AK439" s="212"/>
      <c r="AL439" s="212"/>
      <c r="AM439" s="212"/>
      <c r="AN439" s="212"/>
      <c r="AO439" s="212"/>
      <c r="AP439" s="196"/>
      <c r="AQ439" s="196"/>
      <c r="AR439" s="211"/>
      <c r="AS439" s="212">
        <f t="shared" si="56"/>
        <v>-1.1324768323106582E-8</v>
      </c>
      <c r="AT439" s="212">
        <f>[1]!LIM(AT438+Mode*r0*((1+IntegrationStep/2/Ti+Td/IntegrationStep)*AS439-(1-IntegrationStep/2/Ti+2*Td/IntegrationStep)*AS438+Td/IntegrationStep*AS437))</f>
        <v>0.40307863842422548</v>
      </c>
      <c r="AU439" s="212">
        <f t="shared" si="57"/>
        <v>40.794124671602574</v>
      </c>
      <c r="AW439" s="58"/>
      <c r="AX439" s="58"/>
      <c r="AY439" s="58"/>
      <c r="AZ439" s="58"/>
    </row>
    <row r="440" spans="1:52" s="185" customFormat="1" ht="15" customHeight="1" x14ac:dyDescent="0.25">
      <c r="A440" s="200"/>
      <c r="B440" s="211"/>
      <c r="C440" s="212">
        <f t="shared" si="58"/>
        <v>42.90000000000034</v>
      </c>
      <c r="D440" s="231">
        <f>15+[1]!STEPLOAD(5)</f>
        <v>20</v>
      </c>
      <c r="E440" s="212">
        <f t="shared" si="60"/>
        <v>40.794125759078099</v>
      </c>
      <c r="F440" s="212">
        <f t="shared" si="61"/>
        <v>0.5</v>
      </c>
      <c r="G440" s="212">
        <f>5</f>
        <v>5</v>
      </c>
      <c r="H440" s="212">
        <f t="shared" si="59"/>
        <v>48.369436921441313</v>
      </c>
      <c r="I440" s="212">
        <f t="shared" si="62"/>
        <v>0.9</v>
      </c>
      <c r="J440" s="212">
        <f>1</f>
        <v>1</v>
      </c>
      <c r="K440" s="212">
        <f t="shared" si="63"/>
        <v>4.1870000000000003</v>
      </c>
      <c r="L440" s="212"/>
      <c r="M440" s="212"/>
      <c r="N440" s="212"/>
      <c r="O440" s="212"/>
      <c r="P440" s="212"/>
      <c r="Q440" s="212"/>
      <c r="R440" s="212"/>
      <c r="S440" s="212"/>
      <c r="T440" s="212"/>
      <c r="U440" s="212"/>
      <c r="V440" s="212"/>
      <c r="W440" s="212"/>
      <c r="X440" s="212"/>
      <c r="Y440" s="212"/>
      <c r="Z440" s="212"/>
      <c r="AA440" s="212"/>
      <c r="AB440" s="212"/>
      <c r="AC440" s="196"/>
      <c r="AD440" s="27"/>
      <c r="AE440" s="213"/>
      <c r="AF440" s="212">
        <f t="shared" si="64"/>
        <v>-4.3216301959247971E-7</v>
      </c>
      <c r="AG440" s="212"/>
      <c r="AH440" s="212"/>
      <c r="AI440" s="212"/>
      <c r="AJ440" s="212"/>
      <c r="AK440" s="212"/>
      <c r="AL440" s="212"/>
      <c r="AM440" s="212"/>
      <c r="AN440" s="212"/>
      <c r="AO440" s="212"/>
      <c r="AP440" s="196"/>
      <c r="AQ440" s="196"/>
      <c r="AR440" s="211"/>
      <c r="AS440" s="212">
        <f t="shared" si="56"/>
        <v>-1.0874755247414214E-8</v>
      </c>
      <c r="AT440" s="212">
        <f>[1]!LIM(AT439+Mode*r0*((1+IntegrationStep/2/Ti+Td/IntegrationStep)*AS440-(1-IntegrationStep/2/Ti+2*Td/IntegrationStep)*AS439+Td/IntegrationStep*AS438))</f>
        <v>0.40307864101201096</v>
      </c>
      <c r="AU440" s="212">
        <f t="shared" si="57"/>
        <v>40.794124671602574</v>
      </c>
      <c r="AW440" s="58"/>
      <c r="AX440" s="58"/>
      <c r="AY440" s="58"/>
      <c r="AZ440" s="58"/>
    </row>
    <row r="441" spans="1:52" s="185" customFormat="1" ht="15" customHeight="1" x14ac:dyDescent="0.25">
      <c r="A441" s="200"/>
      <c r="B441" s="211"/>
      <c r="C441" s="212">
        <f t="shared" si="58"/>
        <v>43.000000000000341</v>
      </c>
      <c r="D441" s="231">
        <f>15+[1]!STEPLOAD(5)</f>
        <v>20</v>
      </c>
      <c r="E441" s="212">
        <f t="shared" si="60"/>
        <v>40.794125715861796</v>
      </c>
      <c r="F441" s="212">
        <f t="shared" si="61"/>
        <v>0.5</v>
      </c>
      <c r="G441" s="212">
        <f>5</f>
        <v>5</v>
      </c>
      <c r="H441" s="212">
        <f t="shared" si="59"/>
        <v>48.369437219694461</v>
      </c>
      <c r="I441" s="212">
        <f t="shared" si="62"/>
        <v>0.9</v>
      </c>
      <c r="J441" s="212">
        <f>1</f>
        <v>1</v>
      </c>
      <c r="K441" s="212">
        <f t="shared" si="63"/>
        <v>4.1870000000000003</v>
      </c>
      <c r="L441" s="212"/>
      <c r="M441" s="212"/>
      <c r="N441" s="212"/>
      <c r="O441" s="212"/>
      <c r="P441" s="212"/>
      <c r="Q441" s="212"/>
      <c r="R441" s="212"/>
      <c r="S441" s="212"/>
      <c r="T441" s="212"/>
      <c r="U441" s="212"/>
      <c r="V441" s="212"/>
      <c r="W441" s="212"/>
      <c r="X441" s="212"/>
      <c r="Y441" s="212"/>
      <c r="Z441" s="212"/>
      <c r="AA441" s="212"/>
      <c r="AB441" s="212"/>
      <c r="AC441" s="196"/>
      <c r="AD441" s="27"/>
      <c r="AE441" s="213"/>
      <c r="AF441" s="212">
        <f t="shared" si="64"/>
        <v>-4.1501942504851286E-7</v>
      </c>
      <c r="AG441" s="212"/>
      <c r="AH441" s="212"/>
      <c r="AI441" s="212"/>
      <c r="AJ441" s="212"/>
      <c r="AK441" s="212"/>
      <c r="AL441" s="212"/>
      <c r="AM441" s="212"/>
      <c r="AN441" s="212"/>
      <c r="AO441" s="212"/>
      <c r="AP441" s="196"/>
      <c r="AQ441" s="196"/>
      <c r="AR441" s="211"/>
      <c r="AS441" s="212">
        <f t="shared" si="56"/>
        <v>-1.044259221316679E-8</v>
      </c>
      <c r="AT441" s="212">
        <f>[1]!LIM(AT440+Mode*r0*((1+IntegrationStep/2/Ti+Td/IntegrationStep)*AS441-(1-IntegrationStep/2/Ti+2*Td/IntegrationStep)*AS440+Td/IntegrationStep*AS439))</f>
        <v>0.40307864349745381</v>
      </c>
      <c r="AU441" s="212">
        <f t="shared" si="57"/>
        <v>40.794124671602574</v>
      </c>
      <c r="AW441" s="58"/>
      <c r="AX441" s="58"/>
      <c r="AY441" s="58"/>
      <c r="AZ441" s="58"/>
    </row>
    <row r="442" spans="1:52" s="185" customFormat="1" ht="15" customHeight="1" x14ac:dyDescent="0.25">
      <c r="A442" s="200"/>
      <c r="B442" s="211"/>
      <c r="C442" s="212">
        <f t="shared" si="58"/>
        <v>43.100000000000342</v>
      </c>
      <c r="D442" s="231">
        <f>15+[1]!STEPLOAD(5)</f>
        <v>20</v>
      </c>
      <c r="E442" s="212">
        <f t="shared" si="60"/>
        <v>40.794125674359854</v>
      </c>
      <c r="F442" s="212">
        <f t="shared" si="61"/>
        <v>0.5</v>
      </c>
      <c r="G442" s="212">
        <f>5</f>
        <v>5</v>
      </c>
      <c r="H442" s="212">
        <f t="shared" si="59"/>
        <v>48.369437506150689</v>
      </c>
      <c r="I442" s="212">
        <f t="shared" si="62"/>
        <v>0.9</v>
      </c>
      <c r="J442" s="212">
        <f>1</f>
        <v>1</v>
      </c>
      <c r="K442" s="212">
        <f t="shared" si="63"/>
        <v>4.1870000000000003</v>
      </c>
      <c r="L442" s="212"/>
      <c r="M442" s="212"/>
      <c r="N442" s="212"/>
      <c r="O442" s="212"/>
      <c r="P442" s="212"/>
      <c r="Q442" s="212"/>
      <c r="R442" s="212"/>
      <c r="S442" s="212"/>
      <c r="T442" s="212"/>
      <c r="U442" s="212"/>
      <c r="V442" s="212"/>
      <c r="W442" s="212"/>
      <c r="X442" s="212"/>
      <c r="Y442" s="212"/>
      <c r="Z442" s="212"/>
      <c r="AA442" s="212"/>
      <c r="AB442" s="212"/>
      <c r="AC442" s="196"/>
      <c r="AD442" s="27"/>
      <c r="AE442" s="213"/>
      <c r="AF442" s="212">
        <f t="shared" si="64"/>
        <v>-3.9855441791303292E-7</v>
      </c>
      <c r="AG442" s="212"/>
      <c r="AH442" s="212"/>
      <c r="AI442" s="212"/>
      <c r="AJ442" s="212"/>
      <c r="AK442" s="212"/>
      <c r="AL442" s="212"/>
      <c r="AM442" s="212"/>
      <c r="AN442" s="212"/>
      <c r="AO442" s="212"/>
      <c r="AP442" s="196"/>
      <c r="AQ442" s="196"/>
      <c r="AR442" s="211"/>
      <c r="AS442" s="212">
        <f t="shared" si="56"/>
        <v>-1.0027572798776418E-8</v>
      </c>
      <c r="AT442" s="212">
        <f>[1]!LIM(AT441+Mode*r0*((1+IntegrationStep/2/Ti+Td/IntegrationStep)*AS442-(1-IntegrationStep/2/Ti+2*Td/IntegrationStep)*AS441+Td/IntegrationStep*AS440))</f>
        <v>0.40307864588458908</v>
      </c>
      <c r="AU442" s="212">
        <f t="shared" si="57"/>
        <v>40.794124671602574</v>
      </c>
      <c r="AW442" s="58"/>
      <c r="AX442" s="58"/>
      <c r="AY442" s="58"/>
      <c r="AZ442" s="58"/>
    </row>
    <row r="443" spans="1:52" s="185" customFormat="1" ht="15" customHeight="1" x14ac:dyDescent="0.25">
      <c r="A443" s="200"/>
      <c r="B443" s="211"/>
      <c r="C443" s="212">
        <f t="shared" si="58"/>
        <v>43.200000000000344</v>
      </c>
      <c r="D443" s="231">
        <f>15+[1]!STEPLOAD(5)</f>
        <v>20</v>
      </c>
      <c r="E443" s="212">
        <f t="shared" si="60"/>
        <v>40.794125634504411</v>
      </c>
      <c r="F443" s="212">
        <f t="shared" si="61"/>
        <v>0.5</v>
      </c>
      <c r="G443" s="212">
        <f>5</f>
        <v>5</v>
      </c>
      <c r="H443" s="212">
        <f t="shared" si="59"/>
        <v>48.369437781275373</v>
      </c>
      <c r="I443" s="212">
        <f t="shared" si="62"/>
        <v>0.9</v>
      </c>
      <c r="J443" s="212">
        <f>1</f>
        <v>1</v>
      </c>
      <c r="K443" s="212">
        <f t="shared" si="63"/>
        <v>4.1870000000000003</v>
      </c>
      <c r="L443" s="212"/>
      <c r="M443" s="212"/>
      <c r="N443" s="212"/>
      <c r="O443" s="212"/>
      <c r="P443" s="212"/>
      <c r="Q443" s="212"/>
      <c r="R443" s="212"/>
      <c r="S443" s="212"/>
      <c r="T443" s="212"/>
      <c r="U443" s="212"/>
      <c r="V443" s="212"/>
      <c r="W443" s="212"/>
      <c r="X443" s="212"/>
      <c r="Y443" s="212"/>
      <c r="Z443" s="212"/>
      <c r="AA443" s="212"/>
      <c r="AB443" s="212"/>
      <c r="AC443" s="196"/>
      <c r="AD443" s="27"/>
      <c r="AE443" s="213"/>
      <c r="AF443" s="212">
        <f t="shared" si="64"/>
        <v>-3.8274120583992044E-7</v>
      </c>
      <c r="AG443" s="212"/>
      <c r="AH443" s="212"/>
      <c r="AI443" s="212"/>
      <c r="AJ443" s="212"/>
      <c r="AK443" s="212"/>
      <c r="AL443" s="212"/>
      <c r="AM443" s="212"/>
      <c r="AN443" s="212"/>
      <c r="AO443" s="212"/>
      <c r="AP443" s="196"/>
      <c r="AQ443" s="196"/>
      <c r="AR443" s="211"/>
      <c r="AS443" s="212">
        <f t="shared" si="56"/>
        <v>-9.6290183648761747E-9</v>
      </c>
      <c r="AT443" s="212">
        <f>[1]!LIM(AT442+Mode*r0*((1+IntegrationStep/2/Ti+Td/IntegrationStep)*AS443-(1-IntegrationStep/2/Ti+2*Td/IntegrationStep)*AS442+Td/IntegrationStep*AS441))</f>
        <v>0.40307864817729477</v>
      </c>
      <c r="AU443" s="212">
        <f t="shared" si="57"/>
        <v>40.794124671602574</v>
      </c>
      <c r="AW443" s="58"/>
      <c r="AX443" s="58"/>
      <c r="AY443" s="58"/>
      <c r="AZ443" s="58"/>
    </row>
    <row r="444" spans="1:52" s="185" customFormat="1" ht="15" customHeight="1" x14ac:dyDescent="0.25">
      <c r="A444" s="200"/>
      <c r="B444" s="211"/>
      <c r="C444" s="212">
        <f t="shared" si="58"/>
        <v>43.300000000000345</v>
      </c>
      <c r="D444" s="231">
        <f>15+[1]!STEPLOAD(5)</f>
        <v>20</v>
      </c>
      <c r="E444" s="212">
        <f t="shared" si="60"/>
        <v>40.794125596230288</v>
      </c>
      <c r="F444" s="212">
        <f t="shared" si="61"/>
        <v>0.5</v>
      </c>
      <c r="G444" s="212">
        <f>5</f>
        <v>5</v>
      </c>
      <c r="H444" s="212">
        <f t="shared" si="59"/>
        <v>48.369438045515444</v>
      </c>
      <c r="I444" s="212">
        <f t="shared" si="62"/>
        <v>0.9</v>
      </c>
      <c r="J444" s="212">
        <f>1</f>
        <v>1</v>
      </c>
      <c r="K444" s="212">
        <f t="shared" si="63"/>
        <v>4.1870000000000003</v>
      </c>
      <c r="L444" s="212"/>
      <c r="M444" s="212"/>
      <c r="N444" s="212"/>
      <c r="O444" s="212"/>
      <c r="P444" s="212"/>
      <c r="Q444" s="212"/>
      <c r="R444" s="212"/>
      <c r="S444" s="212"/>
      <c r="T444" s="212"/>
      <c r="U444" s="212"/>
      <c r="V444" s="212"/>
      <c r="W444" s="212"/>
      <c r="X444" s="212"/>
      <c r="Y444" s="212"/>
      <c r="Z444" s="212"/>
      <c r="AA444" s="212"/>
      <c r="AB444" s="212"/>
      <c r="AC444" s="196"/>
      <c r="AD444" s="27"/>
      <c r="AE444" s="213"/>
      <c r="AF444" s="212">
        <f t="shared" si="64"/>
        <v>-3.675540583003567E-7</v>
      </c>
      <c r="AG444" s="212"/>
      <c r="AH444" s="212"/>
      <c r="AI444" s="212"/>
      <c r="AJ444" s="212"/>
      <c r="AK444" s="212"/>
      <c r="AL444" s="212"/>
      <c r="AM444" s="212"/>
      <c r="AN444" s="212"/>
      <c r="AO444" s="212"/>
      <c r="AP444" s="196"/>
      <c r="AQ444" s="196"/>
      <c r="AR444" s="211"/>
      <c r="AS444" s="212">
        <f t="shared" si="56"/>
        <v>-9.2462771306145446E-9</v>
      </c>
      <c r="AT444" s="212">
        <f>[1]!LIM(AT443+Mode*r0*((1+IntegrationStep/2/Ti+Td/IntegrationStep)*AS444-(1-IntegrationStep/2/Ti+2*Td/IntegrationStep)*AS443+Td/IntegrationStep*AS442))</f>
        <v>0.40307865037929536</v>
      </c>
      <c r="AU444" s="212">
        <f t="shared" si="57"/>
        <v>40.794124671602574</v>
      </c>
      <c r="AW444" s="58"/>
      <c r="AX444" s="58"/>
      <c r="AY444" s="58"/>
      <c r="AZ444" s="58"/>
    </row>
    <row r="445" spans="1:52" s="185" customFormat="1" ht="15" customHeight="1" x14ac:dyDescent="0.25">
      <c r="A445" s="200"/>
      <c r="B445" s="211"/>
      <c r="C445" s="212">
        <f t="shared" si="58"/>
        <v>43.400000000000347</v>
      </c>
      <c r="D445" s="231">
        <f>15+[1]!STEPLOAD(5)</f>
        <v>20</v>
      </c>
      <c r="E445" s="212">
        <f t="shared" si="60"/>
        <v>40.794125559474878</v>
      </c>
      <c r="F445" s="212">
        <f t="shared" si="61"/>
        <v>0.5</v>
      </c>
      <c r="G445" s="212">
        <f>5</f>
        <v>5</v>
      </c>
      <c r="H445" s="212">
        <f t="shared" si="59"/>
        <v>48.369438299300306</v>
      </c>
      <c r="I445" s="212">
        <f t="shared" si="62"/>
        <v>0.9</v>
      </c>
      <c r="J445" s="212">
        <f>1</f>
        <v>1</v>
      </c>
      <c r="K445" s="212">
        <f t="shared" si="63"/>
        <v>4.1870000000000003</v>
      </c>
      <c r="L445" s="212"/>
      <c r="M445" s="212"/>
      <c r="N445" s="212"/>
      <c r="O445" s="212"/>
      <c r="P445" s="212"/>
      <c r="Q445" s="212"/>
      <c r="R445" s="212"/>
      <c r="S445" s="212"/>
      <c r="T445" s="212"/>
      <c r="U445" s="212"/>
      <c r="V445" s="212"/>
      <c r="W445" s="212"/>
      <c r="X445" s="212"/>
      <c r="Y445" s="212"/>
      <c r="Z445" s="212"/>
      <c r="AA445" s="212"/>
      <c r="AB445" s="212"/>
      <c r="AC445" s="196"/>
      <c r="AD445" s="27"/>
      <c r="AE445" s="213"/>
      <c r="AF445" s="212">
        <f t="shared" si="64"/>
        <v>-3.5296825373620777E-7</v>
      </c>
      <c r="AG445" s="212"/>
      <c r="AH445" s="212"/>
      <c r="AI445" s="212"/>
      <c r="AJ445" s="212"/>
      <c r="AK445" s="212"/>
      <c r="AL445" s="212"/>
      <c r="AM445" s="212"/>
      <c r="AN445" s="212"/>
      <c r="AO445" s="212"/>
      <c r="AP445" s="196"/>
      <c r="AQ445" s="196"/>
      <c r="AR445" s="211"/>
      <c r="AS445" s="212">
        <f t="shared" si="56"/>
        <v>-8.8787230367870502E-9</v>
      </c>
      <c r="AT445" s="212">
        <f>[1]!LIM(AT444+Mode*r0*((1+IntegrationStep/2/Ti+Td/IntegrationStep)*AS445-(1-IntegrationStep/2/Ti+2*Td/IntegrationStep)*AS444+Td/IntegrationStep*AS443))</f>
        <v>0.40307865249416924</v>
      </c>
      <c r="AU445" s="212">
        <f t="shared" si="57"/>
        <v>40.794124671602574</v>
      </c>
      <c r="AW445" s="58"/>
      <c r="AX445" s="58"/>
      <c r="AY445" s="58"/>
      <c r="AZ445" s="58"/>
    </row>
    <row r="446" spans="1:52" s="185" customFormat="1" ht="15" customHeight="1" x14ac:dyDescent="0.25">
      <c r="A446" s="200"/>
      <c r="B446" s="211"/>
      <c r="C446" s="212">
        <f t="shared" si="58"/>
        <v>43.500000000000348</v>
      </c>
      <c r="D446" s="231">
        <f>15+[1]!STEPLOAD(5)</f>
        <v>20</v>
      </c>
      <c r="E446" s="212">
        <f t="shared" si="60"/>
        <v>40.79412552417805</v>
      </c>
      <c r="F446" s="212">
        <f t="shared" si="61"/>
        <v>0.5</v>
      </c>
      <c r="G446" s="212">
        <f>5</f>
        <v>5</v>
      </c>
      <c r="H446" s="212">
        <f t="shared" si="59"/>
        <v>48.369438543042477</v>
      </c>
      <c r="I446" s="212">
        <f t="shared" si="62"/>
        <v>0.9</v>
      </c>
      <c r="J446" s="212">
        <f>1</f>
        <v>1</v>
      </c>
      <c r="K446" s="212">
        <f t="shared" si="63"/>
        <v>4.1870000000000003</v>
      </c>
      <c r="L446" s="212"/>
      <c r="M446" s="212"/>
      <c r="N446" s="212"/>
      <c r="O446" s="212"/>
      <c r="P446" s="212"/>
      <c r="Q446" s="212"/>
      <c r="R446" s="212"/>
      <c r="S446" s="212"/>
      <c r="T446" s="212"/>
      <c r="U446" s="212"/>
      <c r="V446" s="212"/>
      <c r="W446" s="212"/>
      <c r="X446" s="212"/>
      <c r="Y446" s="212"/>
      <c r="Z446" s="212"/>
      <c r="AA446" s="212"/>
      <c r="AB446" s="212"/>
      <c r="AC446" s="196"/>
      <c r="AD446" s="27"/>
      <c r="AE446" s="213"/>
      <c r="AF446" s="212">
        <f t="shared" si="64"/>
        <v>-3.389600435887985E-7</v>
      </c>
      <c r="AG446" s="212"/>
      <c r="AH446" s="212"/>
      <c r="AI446" s="212"/>
      <c r="AJ446" s="212"/>
      <c r="AK446" s="212"/>
      <c r="AL446" s="212"/>
      <c r="AM446" s="212"/>
      <c r="AN446" s="212"/>
      <c r="AO446" s="212"/>
      <c r="AP446" s="196"/>
      <c r="AQ446" s="196"/>
      <c r="AR446" s="211"/>
      <c r="AS446" s="212">
        <f t="shared" si="56"/>
        <v>-8.5257547510764202E-9</v>
      </c>
      <c r="AT446" s="212">
        <f>[1]!LIM(AT445+Mode*r0*((1+IntegrationStep/2/Ti+Td/IntegrationStep)*AS446-(1-IntegrationStep/2/Ti+2*Td/IntegrationStep)*AS445+Td/IntegrationStep*AS444))</f>
        <v>0.40307865452535396</v>
      </c>
      <c r="AU446" s="212">
        <f t="shared" si="57"/>
        <v>40.794124671602574</v>
      </c>
      <c r="AW446" s="58"/>
      <c r="AX446" s="58"/>
      <c r="AY446" s="58"/>
      <c r="AZ446" s="58"/>
    </row>
    <row r="447" spans="1:52" s="185" customFormat="1" ht="15" customHeight="1" x14ac:dyDescent="0.25">
      <c r="A447" s="200"/>
      <c r="B447" s="211"/>
      <c r="C447" s="212">
        <f t="shared" si="58"/>
        <v>43.60000000000035</v>
      </c>
      <c r="D447" s="231">
        <f>15+[1]!STEPLOAD(5)</f>
        <v>20</v>
      </c>
      <c r="E447" s="212">
        <f t="shared" si="60"/>
        <v>40.794125490282042</v>
      </c>
      <c r="F447" s="212">
        <f t="shared" si="61"/>
        <v>0.5</v>
      </c>
      <c r="G447" s="212">
        <f>5</f>
        <v>5</v>
      </c>
      <c r="H447" s="212">
        <f t="shared" si="59"/>
        <v>48.369438777138249</v>
      </c>
      <c r="I447" s="212">
        <f t="shared" si="62"/>
        <v>0.9</v>
      </c>
      <c r="J447" s="212">
        <f>1</f>
        <v>1</v>
      </c>
      <c r="K447" s="212">
        <f t="shared" si="63"/>
        <v>4.1870000000000003</v>
      </c>
      <c r="L447" s="212"/>
      <c r="M447" s="212"/>
      <c r="N447" s="212"/>
      <c r="O447" s="212"/>
      <c r="P447" s="212"/>
      <c r="Q447" s="212"/>
      <c r="R447" s="212"/>
      <c r="S447" s="212"/>
      <c r="T447" s="212"/>
      <c r="U447" s="212"/>
      <c r="V447" s="212"/>
      <c r="W447" s="212"/>
      <c r="X447" s="212"/>
      <c r="Y447" s="212"/>
      <c r="Z447" s="212"/>
      <c r="AA447" s="212"/>
      <c r="AB447" s="212"/>
      <c r="AC447" s="196"/>
      <c r="AD447" s="27"/>
      <c r="AE447" s="213"/>
      <c r="AF447" s="212">
        <f t="shared" si="64"/>
        <v>-3.2550661721586494E-7</v>
      </c>
      <c r="AG447" s="212"/>
      <c r="AH447" s="212"/>
      <c r="AI447" s="212"/>
      <c r="AJ447" s="212"/>
      <c r="AK447" s="212"/>
      <c r="AL447" s="212"/>
      <c r="AM447" s="212"/>
      <c r="AN447" s="212"/>
      <c r="AO447" s="212"/>
      <c r="AP447" s="196"/>
      <c r="AQ447" s="196"/>
      <c r="AR447" s="211"/>
      <c r="AS447" s="212">
        <f t="shared" si="56"/>
        <v>-8.1867946732927516E-9</v>
      </c>
      <c r="AT447" s="212">
        <f>[1]!LIM(AT446+Mode*r0*((1+IntegrationStep/2/Ti+Td/IntegrationStep)*AS447-(1-IntegrationStep/2/Ti+2*Td/IntegrationStep)*AS446+Td/IntegrationStep*AS445))</f>
        <v>0.4030786564761521</v>
      </c>
      <c r="AU447" s="212">
        <f t="shared" si="57"/>
        <v>40.794124671602574</v>
      </c>
      <c r="AW447" s="58"/>
      <c r="AX447" s="58"/>
      <c r="AY447" s="58"/>
      <c r="AZ447" s="58"/>
    </row>
    <row r="448" spans="1:52" s="185" customFormat="1" ht="15" customHeight="1" x14ac:dyDescent="0.25">
      <c r="A448" s="200"/>
      <c r="B448" s="211"/>
      <c r="C448" s="212">
        <f t="shared" si="58"/>
        <v>43.700000000000351</v>
      </c>
      <c r="D448" s="231">
        <f>15+[1]!STEPLOAD(5)</f>
        <v>20</v>
      </c>
      <c r="E448" s="212">
        <f t="shared" si="60"/>
        <v>40.794125457731383</v>
      </c>
      <c r="F448" s="212">
        <f t="shared" si="61"/>
        <v>0.5</v>
      </c>
      <c r="G448" s="212">
        <f>5</f>
        <v>5</v>
      </c>
      <c r="H448" s="212">
        <f t="shared" si="59"/>
        <v>48.369439001968253</v>
      </c>
      <c r="I448" s="212">
        <f t="shared" si="62"/>
        <v>0.9</v>
      </c>
      <c r="J448" s="212">
        <f>1</f>
        <v>1</v>
      </c>
      <c r="K448" s="212">
        <f t="shared" si="63"/>
        <v>4.1870000000000003</v>
      </c>
      <c r="L448" s="212"/>
      <c r="M448" s="212"/>
      <c r="N448" s="212"/>
      <c r="O448" s="212"/>
      <c r="P448" s="212"/>
      <c r="Q448" s="212"/>
      <c r="R448" s="212"/>
      <c r="S448" s="212"/>
      <c r="T448" s="212"/>
      <c r="U448" s="212"/>
      <c r="V448" s="212"/>
      <c r="W448" s="212"/>
      <c r="X448" s="212"/>
      <c r="Y448" s="212"/>
      <c r="Z448" s="212"/>
      <c r="AA448" s="212"/>
      <c r="AB448" s="212"/>
      <c r="AC448" s="196"/>
      <c r="AD448" s="27"/>
      <c r="AE448" s="213"/>
      <c r="AF448" s="212">
        <f t="shared" si="64"/>
        <v>-3.1258606281170387E-7</v>
      </c>
      <c r="AG448" s="212"/>
      <c r="AH448" s="212"/>
      <c r="AI448" s="212"/>
      <c r="AJ448" s="212"/>
      <c r="AK448" s="212"/>
      <c r="AL448" s="212"/>
      <c r="AM448" s="212"/>
      <c r="AN448" s="212"/>
      <c r="AO448" s="212"/>
      <c r="AP448" s="196"/>
      <c r="AQ448" s="196"/>
      <c r="AR448" s="211"/>
      <c r="AS448" s="212">
        <f t="shared" si="56"/>
        <v>-7.8612880827222394E-9</v>
      </c>
      <c r="AT448" s="212">
        <f>[1]!LIM(AT447+Mode*r0*((1+IntegrationStep/2/Ti+Td/IntegrationStep)*AS448-(1-IntegrationStep/2/Ti+2*Td/IntegrationStep)*AS447+Td/IntegrationStep*AS446))</f>
        <v>0.40307865834973544</v>
      </c>
      <c r="AU448" s="212">
        <f t="shared" si="57"/>
        <v>40.794124671602574</v>
      </c>
      <c r="AW448" s="58"/>
      <c r="AX448" s="58"/>
      <c r="AY448" s="58"/>
      <c r="AZ448" s="58"/>
    </row>
    <row r="449" spans="1:52" s="185" customFormat="1" ht="15" customHeight="1" x14ac:dyDescent="0.25">
      <c r="A449" s="200"/>
      <c r="B449" s="211"/>
      <c r="C449" s="212">
        <f t="shared" si="58"/>
        <v>43.800000000000352</v>
      </c>
      <c r="D449" s="231">
        <f>15+[1]!STEPLOAD(5)</f>
        <v>20</v>
      </c>
      <c r="E449" s="212">
        <f t="shared" si="60"/>
        <v>40.794125426472775</v>
      </c>
      <c r="F449" s="212">
        <f t="shared" si="61"/>
        <v>0.5</v>
      </c>
      <c r="G449" s="212">
        <f>5</f>
        <v>5</v>
      </c>
      <c r="H449" s="212">
        <f t="shared" si="59"/>
        <v>48.369439217898417</v>
      </c>
      <c r="I449" s="212">
        <f t="shared" si="62"/>
        <v>0.9</v>
      </c>
      <c r="J449" s="212">
        <f>1</f>
        <v>1</v>
      </c>
      <c r="K449" s="212">
        <f t="shared" si="63"/>
        <v>4.1870000000000003</v>
      </c>
      <c r="L449" s="212"/>
      <c r="M449" s="212"/>
      <c r="N449" s="212"/>
      <c r="O449" s="212"/>
      <c r="P449" s="212"/>
      <c r="Q449" s="212"/>
      <c r="R449" s="212"/>
      <c r="S449" s="212"/>
      <c r="T449" s="212"/>
      <c r="U449" s="212"/>
      <c r="V449" s="212"/>
      <c r="W449" s="212"/>
      <c r="X449" s="212"/>
      <c r="Y449" s="212"/>
      <c r="Z449" s="212"/>
      <c r="AA449" s="212"/>
      <c r="AB449" s="212"/>
      <c r="AC449" s="196"/>
      <c r="AD449" s="27"/>
      <c r="AE449" s="213"/>
      <c r="AF449" s="212">
        <f t="shared" si="64"/>
        <v>-3.0017731900144895E-7</v>
      </c>
      <c r="AG449" s="212"/>
      <c r="AH449" s="212"/>
      <c r="AI449" s="212"/>
      <c r="AJ449" s="212"/>
      <c r="AK449" s="212"/>
      <c r="AL449" s="212"/>
      <c r="AM449" s="212"/>
      <c r="AN449" s="212"/>
      <c r="AO449" s="212"/>
      <c r="AP449" s="196"/>
      <c r="AQ449" s="196"/>
      <c r="AR449" s="211"/>
      <c r="AS449" s="212">
        <f t="shared" si="56"/>
        <v>-7.5487020012587898E-9</v>
      </c>
      <c r="AT449" s="212">
        <f>[1]!LIM(AT448+Mode*r0*((1+IntegrationStep/2/Ti+Td/IntegrationStep)*AS449-(1-IntegrationStep/2/Ti+2*Td/IntegrationStep)*AS448+Td/IntegrationStep*AS447))</f>
        <v>0.4030786601491535</v>
      </c>
      <c r="AU449" s="212">
        <f t="shared" si="57"/>
        <v>40.794124671602574</v>
      </c>
      <c r="AW449" s="58"/>
      <c r="AX449" s="58"/>
      <c r="AY449" s="58"/>
      <c r="AZ449" s="58"/>
    </row>
    <row r="450" spans="1:52" s="185" customFormat="1" ht="15" customHeight="1" x14ac:dyDescent="0.25">
      <c r="A450" s="200"/>
      <c r="B450" s="211"/>
      <c r="C450" s="212">
        <f t="shared" si="58"/>
        <v>43.900000000000354</v>
      </c>
      <c r="D450" s="231">
        <f>15+[1]!STEPLOAD(5)</f>
        <v>20</v>
      </c>
      <c r="E450" s="212">
        <f t="shared" si="60"/>
        <v>40.794125396455044</v>
      </c>
      <c r="F450" s="212">
        <f t="shared" si="61"/>
        <v>0.5</v>
      </c>
      <c r="G450" s="212">
        <f>5</f>
        <v>5</v>
      </c>
      <c r="H450" s="212">
        <f t="shared" si="59"/>
        <v>48.369439425279971</v>
      </c>
      <c r="I450" s="212">
        <f t="shared" si="62"/>
        <v>0.9</v>
      </c>
      <c r="J450" s="212">
        <f>1</f>
        <v>1</v>
      </c>
      <c r="K450" s="212">
        <f t="shared" si="63"/>
        <v>4.1870000000000003</v>
      </c>
      <c r="L450" s="212"/>
      <c r="M450" s="212"/>
      <c r="N450" s="212"/>
      <c r="O450" s="212"/>
      <c r="P450" s="212"/>
      <c r="Q450" s="212"/>
      <c r="R450" s="212"/>
      <c r="S450" s="212"/>
      <c r="T450" s="212"/>
      <c r="U450" s="212"/>
      <c r="V450" s="212"/>
      <c r="W450" s="212"/>
      <c r="X450" s="212"/>
      <c r="Y450" s="212"/>
      <c r="Z450" s="212"/>
      <c r="AA450" s="212"/>
      <c r="AB450" s="212"/>
      <c r="AC450" s="196"/>
      <c r="AD450" s="27"/>
      <c r="AE450" s="213"/>
      <c r="AF450" s="212">
        <f t="shared" si="64"/>
        <v>-2.8826016995608938E-7</v>
      </c>
      <c r="AG450" s="212"/>
      <c r="AH450" s="212"/>
      <c r="AI450" s="212"/>
      <c r="AJ450" s="212"/>
      <c r="AK450" s="212"/>
      <c r="AL450" s="212"/>
      <c r="AM450" s="212"/>
      <c r="AN450" s="212"/>
      <c r="AO450" s="212"/>
      <c r="AP450" s="196"/>
      <c r="AQ450" s="196"/>
      <c r="AR450" s="211"/>
      <c r="AS450" s="212">
        <f t="shared" si="56"/>
        <v>-7.2485246960241059E-9</v>
      </c>
      <c r="AT450" s="212">
        <f>[1]!LIM(AT449+Mode*r0*((1+IntegrationStep/2/Ti+Td/IntegrationStep)*AS450-(1-IntegrationStep/2/Ti+2*Td/IntegrationStep)*AS449+Td/IntegrationStep*AS448))</f>
        <v>0.4030786618773331</v>
      </c>
      <c r="AU450" s="212">
        <f t="shared" si="57"/>
        <v>40.794124671602574</v>
      </c>
      <c r="AW450" s="58"/>
      <c r="AX450" s="58"/>
      <c r="AY450" s="58"/>
      <c r="AZ450" s="58"/>
    </row>
    <row r="451" spans="1:52" s="185" customFormat="1" ht="15" customHeight="1" x14ac:dyDescent="0.25">
      <c r="A451" s="200"/>
      <c r="B451" s="211"/>
      <c r="C451" s="212">
        <f t="shared" si="58"/>
        <v>44.000000000000355</v>
      </c>
      <c r="D451" s="231">
        <f>15+[1]!STEPLOAD(5)</f>
        <v>20</v>
      </c>
      <c r="E451" s="212">
        <f t="shared" si="60"/>
        <v>40.794125367629029</v>
      </c>
      <c r="F451" s="212">
        <f t="shared" si="61"/>
        <v>0.5</v>
      </c>
      <c r="G451" s="212">
        <f>5</f>
        <v>5</v>
      </c>
      <c r="H451" s="212">
        <f t="shared" si="59"/>
        <v>48.369439624450493</v>
      </c>
      <c r="I451" s="212">
        <f t="shared" si="62"/>
        <v>0.9</v>
      </c>
      <c r="J451" s="212">
        <f>1</f>
        <v>1</v>
      </c>
      <c r="K451" s="212">
        <f t="shared" si="63"/>
        <v>4.1870000000000003</v>
      </c>
      <c r="L451" s="212"/>
      <c r="M451" s="212"/>
      <c r="N451" s="212"/>
      <c r="O451" s="212"/>
      <c r="P451" s="212"/>
      <c r="Q451" s="212"/>
      <c r="R451" s="212"/>
      <c r="S451" s="212"/>
      <c r="T451" s="212"/>
      <c r="U451" s="212"/>
      <c r="V451" s="212"/>
      <c r="W451" s="212"/>
      <c r="X451" s="212"/>
      <c r="Y451" s="212"/>
      <c r="Z451" s="212"/>
      <c r="AA451" s="212"/>
      <c r="AB451" s="212"/>
      <c r="AC451" s="196"/>
      <c r="AD451" s="27"/>
      <c r="AE451" s="213"/>
      <c r="AF451" s="212">
        <f t="shared" si="64"/>
        <v>-2.7681518677269423E-7</v>
      </c>
      <c r="AG451" s="212"/>
      <c r="AH451" s="212"/>
      <c r="AI451" s="212"/>
      <c r="AJ451" s="212"/>
      <c r="AK451" s="212"/>
      <c r="AL451" s="212"/>
      <c r="AM451" s="212"/>
      <c r="AN451" s="212"/>
      <c r="AO451" s="212"/>
      <c r="AP451" s="196"/>
      <c r="AQ451" s="196"/>
      <c r="AR451" s="211"/>
      <c r="AS451" s="212">
        <f t="shared" si="56"/>
        <v>-6.9602645424993172E-9</v>
      </c>
      <c r="AT451" s="212">
        <f>[1]!LIM(AT450+Mode*r0*((1+IntegrationStep/2/Ti+Td/IntegrationStep)*AS451-(1-IntegrationStep/2/Ti+2*Td/IntegrationStep)*AS450+Td/IntegrationStep*AS449))</f>
        <v>0.40307866353708743</v>
      </c>
      <c r="AU451" s="212">
        <f t="shared" si="57"/>
        <v>40.794124671602574</v>
      </c>
      <c r="AW451" s="58"/>
      <c r="AX451" s="58"/>
      <c r="AY451" s="58"/>
      <c r="AZ451" s="58"/>
    </row>
    <row r="452" spans="1:52" s="185" customFormat="1" ht="15" customHeight="1" x14ac:dyDescent="0.25">
      <c r="A452" s="200"/>
      <c r="B452" s="211"/>
      <c r="C452" s="212">
        <f t="shared" si="58"/>
        <v>44.100000000000357</v>
      </c>
      <c r="D452" s="231">
        <f>15+[1]!STEPLOAD(5)</f>
        <v>20</v>
      </c>
      <c r="E452" s="212">
        <f t="shared" si="60"/>
        <v>40.794125339947513</v>
      </c>
      <c r="F452" s="212">
        <f t="shared" si="61"/>
        <v>0.5</v>
      </c>
      <c r="G452" s="212">
        <f>5</f>
        <v>5</v>
      </c>
      <c r="H452" s="212">
        <f t="shared" si="59"/>
        <v>48.369439815734211</v>
      </c>
      <c r="I452" s="212">
        <f t="shared" si="62"/>
        <v>0.9</v>
      </c>
      <c r="J452" s="212">
        <f>1</f>
        <v>1</v>
      </c>
      <c r="K452" s="212">
        <f t="shared" si="63"/>
        <v>4.1870000000000003</v>
      </c>
      <c r="L452" s="212"/>
      <c r="M452" s="212"/>
      <c r="N452" s="212"/>
      <c r="O452" s="212"/>
      <c r="P452" s="212"/>
      <c r="Q452" s="212"/>
      <c r="R452" s="212"/>
      <c r="S452" s="212"/>
      <c r="T452" s="212"/>
      <c r="U452" s="212"/>
      <c r="V452" s="212"/>
      <c r="W452" s="212"/>
      <c r="X452" s="212"/>
      <c r="Y452" s="212"/>
      <c r="Z452" s="212"/>
      <c r="AA452" s="212"/>
      <c r="AB452" s="212"/>
      <c r="AC452" s="196"/>
      <c r="AD452" s="27"/>
      <c r="AE452" s="213"/>
      <c r="AF452" s="212">
        <f t="shared" si="64"/>
        <v>-2.6582370837857638E-7</v>
      </c>
      <c r="AG452" s="212"/>
      <c r="AH452" s="212"/>
      <c r="AI452" s="212"/>
      <c r="AJ452" s="212"/>
      <c r="AK452" s="212"/>
      <c r="AL452" s="212"/>
      <c r="AM452" s="212"/>
      <c r="AN452" s="212"/>
      <c r="AO452" s="212"/>
      <c r="AP452" s="196"/>
      <c r="AQ452" s="196"/>
      <c r="AR452" s="211"/>
      <c r="AS452" s="212">
        <f t="shared" si="56"/>
        <v>-6.6834493850365107E-9</v>
      </c>
      <c r="AT452" s="212">
        <f>[1]!LIM(AT451+Mode*r0*((1+IntegrationStep/2/Ti+Td/IntegrationStep)*AS452-(1-IntegrationStep/2/Ti+2*Td/IntegrationStep)*AS451+Td/IntegrationStep*AS450))</f>
        <v>0.40307866513111845</v>
      </c>
      <c r="AU452" s="212">
        <f t="shared" si="57"/>
        <v>40.794124671602574</v>
      </c>
      <c r="AW452" s="58"/>
      <c r="AX452" s="58"/>
      <c r="AY452" s="58"/>
      <c r="AZ452" s="58"/>
    </row>
    <row r="453" spans="1:52" s="185" customFormat="1" ht="15" customHeight="1" x14ac:dyDescent="0.25">
      <c r="A453" s="200"/>
      <c r="B453" s="211"/>
      <c r="C453" s="212">
        <f t="shared" si="58"/>
        <v>44.200000000000358</v>
      </c>
      <c r="D453" s="231">
        <f>15+[1]!STEPLOAD(5)</f>
        <v>20</v>
      </c>
      <c r="E453" s="212">
        <f t="shared" si="60"/>
        <v>40.794125313365143</v>
      </c>
      <c r="F453" s="212">
        <f t="shared" si="61"/>
        <v>0.5</v>
      </c>
      <c r="G453" s="212">
        <f>5</f>
        <v>5</v>
      </c>
      <c r="H453" s="212">
        <f t="shared" si="59"/>
        <v>48.36943999944269</v>
      </c>
      <c r="I453" s="212">
        <f t="shared" si="62"/>
        <v>0.9</v>
      </c>
      <c r="J453" s="212">
        <f>1</f>
        <v>1</v>
      </c>
      <c r="K453" s="212">
        <f t="shared" si="63"/>
        <v>4.1870000000000003</v>
      </c>
      <c r="L453" s="212"/>
      <c r="M453" s="212"/>
      <c r="N453" s="212"/>
      <c r="O453" s="212"/>
      <c r="P453" s="212"/>
      <c r="Q453" s="212"/>
      <c r="R453" s="212"/>
      <c r="S453" s="212"/>
      <c r="T453" s="212"/>
      <c r="U453" s="212"/>
      <c r="V453" s="212"/>
      <c r="W453" s="212"/>
      <c r="X453" s="212"/>
      <c r="Y453" s="212"/>
      <c r="Z453" s="212"/>
      <c r="AA453" s="212"/>
      <c r="AB453" s="212"/>
      <c r="AC453" s="196"/>
      <c r="AD453" s="27"/>
      <c r="AE453" s="213"/>
      <c r="AF453" s="212">
        <f t="shared" si="64"/>
        <v>-2.5526780556006656E-7</v>
      </c>
      <c r="AG453" s="212"/>
      <c r="AH453" s="212"/>
      <c r="AI453" s="212"/>
      <c r="AJ453" s="212"/>
      <c r="AK453" s="212"/>
      <c r="AL453" s="212"/>
      <c r="AM453" s="212"/>
      <c r="AN453" s="212"/>
      <c r="AO453" s="212"/>
      <c r="AP453" s="196"/>
      <c r="AQ453" s="196"/>
      <c r="AR453" s="211"/>
      <c r="AS453" s="212">
        <f t="shared" si="56"/>
        <v>-6.417625684207451E-9</v>
      </c>
      <c r="AT453" s="212">
        <f>[1]!LIM(AT452+Mode*r0*((1+IntegrationStep/2/Ti+Td/IntegrationStep)*AS453-(1-IntegrationStep/2/Ti+2*Td/IntegrationStep)*AS452+Td/IntegrationStep*AS451))</f>
        <v>0.40307866666202241</v>
      </c>
      <c r="AU453" s="212">
        <f t="shared" si="57"/>
        <v>40.794124671602574</v>
      </c>
      <c r="AW453" s="58"/>
      <c r="AX453" s="58"/>
      <c r="AY453" s="58"/>
      <c r="AZ453" s="58"/>
    </row>
    <row r="454" spans="1:52" s="185" customFormat="1" ht="15" customHeight="1" x14ac:dyDescent="0.25">
      <c r="A454" s="200"/>
      <c r="B454" s="211"/>
      <c r="C454" s="212">
        <f t="shared" si="58"/>
        <v>44.30000000000036</v>
      </c>
      <c r="D454" s="231">
        <f>15+[1]!STEPLOAD(5)</f>
        <v>20</v>
      </c>
      <c r="E454" s="212">
        <f t="shared" si="60"/>
        <v>40.794125287838362</v>
      </c>
      <c r="F454" s="212">
        <f t="shared" si="61"/>
        <v>0.5</v>
      </c>
      <c r="G454" s="212">
        <f>5</f>
        <v>5</v>
      </c>
      <c r="H454" s="212">
        <f t="shared" si="59"/>
        <v>48.369440175875113</v>
      </c>
      <c r="I454" s="212">
        <f t="shared" si="62"/>
        <v>0.9</v>
      </c>
      <c r="J454" s="212">
        <f>1</f>
        <v>1</v>
      </c>
      <c r="K454" s="212">
        <f t="shared" si="63"/>
        <v>4.1870000000000003</v>
      </c>
      <c r="L454" s="212"/>
      <c r="M454" s="212"/>
      <c r="N454" s="212"/>
      <c r="O454" s="212"/>
      <c r="P454" s="212"/>
      <c r="Q454" s="212"/>
      <c r="R454" s="212"/>
      <c r="S454" s="212"/>
      <c r="T454" s="212"/>
      <c r="U454" s="212"/>
      <c r="V454" s="212"/>
      <c r="W454" s="212"/>
      <c r="X454" s="212"/>
      <c r="Y454" s="212"/>
      <c r="Z454" s="212"/>
      <c r="AA454" s="212"/>
      <c r="AB454" s="212"/>
      <c r="AC454" s="196"/>
      <c r="AD454" s="27"/>
      <c r="AE454" s="213"/>
      <c r="AF454" s="212">
        <f t="shared" si="64"/>
        <v>-2.4513026097849888E-7</v>
      </c>
      <c r="AG454" s="212"/>
      <c r="AH454" s="212"/>
      <c r="AI454" s="212"/>
      <c r="AJ454" s="212"/>
      <c r="AK454" s="212"/>
      <c r="AL454" s="212"/>
      <c r="AM454" s="212"/>
      <c r="AN454" s="212"/>
      <c r="AO454" s="212"/>
      <c r="AP454" s="196"/>
      <c r="AQ454" s="196"/>
      <c r="AR454" s="211"/>
      <c r="AS454" s="212">
        <f t="shared" si="56"/>
        <v>-6.1623578773151168E-9</v>
      </c>
      <c r="AT454" s="212">
        <f>[1]!LIM(AT453+Mode*r0*((1+IntegrationStep/2/Ti+Td/IntegrationStep)*AS454-(1-IntegrationStep/2/Ti+2*Td/IntegrationStep)*AS453+Td/IntegrationStep*AS452))</f>
        <v>0.40307866813229259</v>
      </c>
      <c r="AU454" s="212">
        <f t="shared" si="57"/>
        <v>40.794124671602574</v>
      </c>
      <c r="AW454" s="58"/>
      <c r="AX454" s="58"/>
      <c r="AY454" s="58"/>
      <c r="AZ454" s="58"/>
    </row>
    <row r="455" spans="1:52" s="185" customFormat="1" ht="15" customHeight="1" x14ac:dyDescent="0.25">
      <c r="A455" s="200"/>
      <c r="B455" s="211"/>
      <c r="C455" s="212">
        <f t="shared" si="58"/>
        <v>44.400000000000361</v>
      </c>
      <c r="D455" s="231">
        <f>15+[1]!STEPLOAD(5)</f>
        <v>20</v>
      </c>
      <c r="E455" s="212">
        <f t="shared" si="60"/>
        <v>40.794125263325334</v>
      </c>
      <c r="F455" s="212">
        <f t="shared" si="61"/>
        <v>0.5</v>
      </c>
      <c r="G455" s="212">
        <f>5</f>
        <v>5</v>
      </c>
      <c r="H455" s="212">
        <f t="shared" si="59"/>
        <v>48.369440345318942</v>
      </c>
      <c r="I455" s="212">
        <f t="shared" si="62"/>
        <v>0.9</v>
      </c>
      <c r="J455" s="212">
        <f>1</f>
        <v>1</v>
      </c>
      <c r="K455" s="212">
        <f t="shared" si="63"/>
        <v>4.1870000000000003</v>
      </c>
      <c r="L455" s="212"/>
      <c r="M455" s="212"/>
      <c r="N455" s="212"/>
      <c r="O455" s="212"/>
      <c r="P455" s="212"/>
      <c r="Q455" s="212"/>
      <c r="R455" s="212"/>
      <c r="S455" s="212"/>
      <c r="T455" s="212"/>
      <c r="U455" s="212"/>
      <c r="V455" s="212"/>
      <c r="W455" s="212"/>
      <c r="X455" s="212"/>
      <c r="Y455" s="212"/>
      <c r="Z455" s="212"/>
      <c r="AA455" s="212"/>
      <c r="AB455" s="212"/>
      <c r="AC455" s="196"/>
      <c r="AD455" s="27"/>
      <c r="AE455" s="213"/>
      <c r="AF455" s="212">
        <f t="shared" si="64"/>
        <v>-2.3539453275489564E-7</v>
      </c>
      <c r="AG455" s="212"/>
      <c r="AH455" s="212"/>
      <c r="AI455" s="212"/>
      <c r="AJ455" s="212"/>
      <c r="AK455" s="212"/>
      <c r="AL455" s="212"/>
      <c r="AM455" s="212"/>
      <c r="AN455" s="212"/>
      <c r="AO455" s="212"/>
      <c r="AP455" s="196"/>
      <c r="AQ455" s="196"/>
      <c r="AR455" s="211"/>
      <c r="AS455" s="212">
        <f t="shared" si="56"/>
        <v>-5.9172275967966925E-9</v>
      </c>
      <c r="AT455" s="212">
        <f>[1]!LIM(AT454+Mode*r0*((1+IntegrationStep/2/Ti+Td/IntegrationStep)*AS455-(1-IntegrationStep/2/Ti+2*Td/IntegrationStep)*AS454+Td/IntegrationStep*AS453))</f>
        <v>0.40307866954432453</v>
      </c>
      <c r="AU455" s="212">
        <f t="shared" si="57"/>
        <v>40.794124671602574</v>
      </c>
      <c r="AW455" s="58"/>
      <c r="AX455" s="58"/>
      <c r="AY455" s="58"/>
      <c r="AZ455" s="58"/>
    </row>
    <row r="456" spans="1:52" s="185" customFormat="1" ht="15" customHeight="1" x14ac:dyDescent="0.25">
      <c r="A456" s="200"/>
      <c r="B456" s="211"/>
      <c r="C456" s="212">
        <f t="shared" si="58"/>
        <v>44.500000000000362</v>
      </c>
      <c r="D456" s="231">
        <f>15+[1]!STEPLOAD(5)</f>
        <v>20</v>
      </c>
      <c r="E456" s="212">
        <f t="shared" si="60"/>
        <v>40.794125239785878</v>
      </c>
      <c r="F456" s="212">
        <f t="shared" si="61"/>
        <v>0.5</v>
      </c>
      <c r="G456" s="212">
        <f>5</f>
        <v>5</v>
      </c>
      <c r="H456" s="212">
        <f t="shared" si="59"/>
        <v>48.369440508050296</v>
      </c>
      <c r="I456" s="212">
        <f t="shared" si="62"/>
        <v>0.9</v>
      </c>
      <c r="J456" s="212">
        <f>1</f>
        <v>1</v>
      </c>
      <c r="K456" s="212">
        <f t="shared" si="63"/>
        <v>4.1870000000000003</v>
      </c>
      <c r="L456" s="212"/>
      <c r="M456" s="212"/>
      <c r="N456" s="212"/>
      <c r="O456" s="212"/>
      <c r="P456" s="212"/>
      <c r="Q456" s="212"/>
      <c r="R456" s="212"/>
      <c r="S456" s="212"/>
      <c r="T456" s="212"/>
      <c r="U456" s="212"/>
      <c r="V456" s="212"/>
      <c r="W456" s="212"/>
      <c r="X456" s="212"/>
      <c r="Y456" s="212"/>
      <c r="Z456" s="212"/>
      <c r="AA456" s="212"/>
      <c r="AB456" s="212"/>
      <c r="AC456" s="196"/>
      <c r="AD456" s="27"/>
      <c r="AE456" s="213"/>
      <c r="AF456" s="212">
        <f t="shared" si="64"/>
        <v>-2.2604473226550681E-7</v>
      </c>
      <c r="AG456" s="212"/>
      <c r="AH456" s="212"/>
      <c r="AI456" s="212"/>
      <c r="AJ456" s="212"/>
      <c r="AK456" s="212"/>
      <c r="AL456" s="212"/>
      <c r="AM456" s="212"/>
      <c r="AN456" s="212"/>
      <c r="AO456" s="212"/>
      <c r="AP456" s="196"/>
      <c r="AQ456" s="196"/>
      <c r="AR456" s="211"/>
      <c r="AS456" s="212">
        <f t="shared" si="56"/>
        <v>-5.6818330307351064E-9</v>
      </c>
      <c r="AT456" s="212">
        <f>[1]!LIM(AT455+Mode*r0*((1+IntegrationStep/2/Ti+Td/IntegrationStep)*AS456-(1-IntegrationStep/2/Ti+2*Td/IntegrationStep)*AS455+Td/IntegrationStep*AS454))</f>
        <v>0.40307867090041916</v>
      </c>
      <c r="AU456" s="212">
        <f t="shared" si="57"/>
        <v>40.794124671602574</v>
      </c>
      <c r="AW456" s="58"/>
      <c r="AX456" s="58"/>
      <c r="AY456" s="58"/>
      <c r="AZ456" s="58"/>
    </row>
    <row r="457" spans="1:52" s="185" customFormat="1" ht="15" customHeight="1" x14ac:dyDescent="0.25">
      <c r="A457" s="200"/>
      <c r="B457" s="211"/>
      <c r="C457" s="212">
        <f t="shared" si="58"/>
        <v>44.600000000000364</v>
      </c>
      <c r="D457" s="231">
        <f>15+[1]!STEPLOAD(5)</f>
        <v>20</v>
      </c>
      <c r="E457" s="212">
        <f t="shared" si="60"/>
        <v>40.794125217181403</v>
      </c>
      <c r="F457" s="212">
        <f t="shared" si="61"/>
        <v>0.5</v>
      </c>
      <c r="G457" s="212">
        <f>5</f>
        <v>5</v>
      </c>
      <c r="H457" s="212">
        <f t="shared" si="59"/>
        <v>48.369440664334363</v>
      </c>
      <c r="I457" s="212">
        <f t="shared" si="62"/>
        <v>0.9</v>
      </c>
      <c r="J457" s="212">
        <f>1</f>
        <v>1</v>
      </c>
      <c r="K457" s="212">
        <f t="shared" si="63"/>
        <v>4.1870000000000003</v>
      </c>
      <c r="L457" s="212"/>
      <c r="M457" s="212"/>
      <c r="N457" s="212"/>
      <c r="O457" s="212"/>
      <c r="P457" s="212"/>
      <c r="Q457" s="212"/>
      <c r="R457" s="212"/>
      <c r="S457" s="212"/>
      <c r="T457" s="212"/>
      <c r="U457" s="212"/>
      <c r="V457" s="212"/>
      <c r="W457" s="212"/>
      <c r="X457" s="212"/>
      <c r="Y457" s="212"/>
      <c r="Z457" s="212"/>
      <c r="AA457" s="212"/>
      <c r="AB457" s="212"/>
      <c r="AC457" s="196"/>
      <c r="AD457" s="27"/>
      <c r="AE457" s="213"/>
      <c r="AF457" s="212">
        <f t="shared" si="64"/>
        <v>-2.1706560016099274E-7</v>
      </c>
      <c r="AG457" s="212"/>
      <c r="AH457" s="212"/>
      <c r="AI457" s="212"/>
      <c r="AJ457" s="212"/>
      <c r="AK457" s="212"/>
      <c r="AL457" s="212"/>
      <c r="AM457" s="212"/>
      <c r="AN457" s="212"/>
      <c r="AO457" s="212"/>
      <c r="AP457" s="196"/>
      <c r="AQ457" s="196"/>
      <c r="AR457" s="211"/>
      <c r="AS457" s="212">
        <f t="shared" si="56"/>
        <v>-5.4557882833705658E-9</v>
      </c>
      <c r="AT457" s="212">
        <f>[1]!LIM(AT456+Mode*r0*((1+IntegrationStep/2/Ti+Td/IntegrationStep)*AS457-(1-IntegrationStep/2/Ti+2*Td/IntegrationStep)*AS456+Td/IntegrationStep*AS455))</f>
        <v>0.40307867220278637</v>
      </c>
      <c r="AU457" s="212">
        <f t="shared" si="57"/>
        <v>40.794124671602574</v>
      </c>
      <c r="AW457" s="58"/>
      <c r="AX457" s="58"/>
      <c r="AY457" s="58"/>
      <c r="AZ457" s="58"/>
    </row>
    <row r="458" spans="1:52" s="185" customFormat="1" ht="15" customHeight="1" x14ac:dyDescent="0.25">
      <c r="A458" s="200"/>
      <c r="B458" s="211"/>
      <c r="C458" s="212">
        <f t="shared" si="58"/>
        <v>44.700000000000365</v>
      </c>
      <c r="D458" s="231">
        <f>15+[1]!STEPLOAD(5)</f>
        <v>20</v>
      </c>
      <c r="E458" s="212">
        <f t="shared" si="60"/>
        <v>40.794125195474841</v>
      </c>
      <c r="F458" s="212">
        <f t="shared" si="61"/>
        <v>0.5</v>
      </c>
      <c r="G458" s="212">
        <f>5</f>
        <v>5</v>
      </c>
      <c r="H458" s="212">
        <f t="shared" si="59"/>
        <v>48.369440814425985</v>
      </c>
      <c r="I458" s="212">
        <f t="shared" si="62"/>
        <v>0.9</v>
      </c>
      <c r="J458" s="212">
        <f>1</f>
        <v>1</v>
      </c>
      <c r="K458" s="212">
        <f t="shared" si="63"/>
        <v>4.1870000000000003</v>
      </c>
      <c r="L458" s="212"/>
      <c r="M458" s="212"/>
      <c r="N458" s="212"/>
      <c r="O458" s="212"/>
      <c r="P458" s="212"/>
      <c r="Q458" s="212"/>
      <c r="R458" s="212"/>
      <c r="S458" s="212"/>
      <c r="T458" s="212"/>
      <c r="U458" s="212"/>
      <c r="V458" s="212"/>
      <c r="W458" s="212"/>
      <c r="X458" s="212"/>
      <c r="Y458" s="212"/>
      <c r="Z458" s="212"/>
      <c r="AA458" s="212"/>
      <c r="AB458" s="212"/>
      <c r="AC458" s="196"/>
      <c r="AD458" s="27"/>
      <c r="AE458" s="213"/>
      <c r="AF458" s="212">
        <f t="shared" si="64"/>
        <v>-2.0844247394791182E-7</v>
      </c>
      <c r="AG458" s="212"/>
      <c r="AH458" s="212"/>
      <c r="AI458" s="212"/>
      <c r="AJ458" s="212"/>
      <c r="AK458" s="212"/>
      <c r="AL458" s="212"/>
      <c r="AM458" s="212"/>
      <c r="AN458" s="212"/>
      <c r="AO458" s="212"/>
      <c r="AP458" s="196"/>
      <c r="AQ458" s="196"/>
      <c r="AR458" s="211"/>
      <c r="AS458" s="212">
        <f t="shared" si="56"/>
        <v>-5.2387226645578269E-9</v>
      </c>
      <c r="AT458" s="212">
        <f>[1]!LIM(AT457+Mode*r0*((1+IntegrationStep/2/Ti+Td/IntegrationStep)*AS458-(1-IntegrationStep/2/Ti+2*Td/IntegrationStep)*AS457+Td/IntegrationStep*AS456))</f>
        <v>0.40307867345354986</v>
      </c>
      <c r="AU458" s="212">
        <f t="shared" si="57"/>
        <v>40.794124671602574</v>
      </c>
      <c r="AW458" s="58"/>
      <c r="AX458" s="58"/>
      <c r="AY458" s="58"/>
      <c r="AZ458" s="58"/>
    </row>
    <row r="459" spans="1:52" s="185" customFormat="1" ht="15" customHeight="1" x14ac:dyDescent="0.25">
      <c r="A459" s="200"/>
      <c r="B459" s="211"/>
      <c r="C459" s="212">
        <f t="shared" si="58"/>
        <v>44.800000000000367</v>
      </c>
      <c r="D459" s="231">
        <f>15+[1]!STEPLOAD(5)</f>
        <v>20</v>
      </c>
      <c r="E459" s="212">
        <f t="shared" si="60"/>
        <v>40.794125174630594</v>
      </c>
      <c r="F459" s="212">
        <f t="shared" si="61"/>
        <v>0.5</v>
      </c>
      <c r="G459" s="212">
        <f>5</f>
        <v>5</v>
      </c>
      <c r="H459" s="212">
        <f t="shared" si="59"/>
        <v>48.369440958569868</v>
      </c>
      <c r="I459" s="212">
        <f t="shared" si="62"/>
        <v>0.9</v>
      </c>
      <c r="J459" s="212">
        <f>1</f>
        <v>1</v>
      </c>
      <c r="K459" s="212">
        <f t="shared" si="63"/>
        <v>4.1870000000000003</v>
      </c>
      <c r="L459" s="212"/>
      <c r="M459" s="212"/>
      <c r="N459" s="212"/>
      <c r="O459" s="212"/>
      <c r="P459" s="212"/>
      <c r="Q459" s="212"/>
      <c r="R459" s="212"/>
      <c r="S459" s="212"/>
      <c r="T459" s="212"/>
      <c r="U459" s="212"/>
      <c r="V459" s="212"/>
      <c r="W459" s="212"/>
      <c r="X459" s="212"/>
      <c r="Y459" s="212"/>
      <c r="Z459" s="212"/>
      <c r="AA459" s="212"/>
      <c r="AB459" s="212"/>
      <c r="AC459" s="196"/>
      <c r="AD459" s="27"/>
      <c r="AE459" s="213"/>
      <c r="AF459" s="212">
        <f t="shared" si="64"/>
        <v>-2.0016127377786574E-7</v>
      </c>
      <c r="AG459" s="212"/>
      <c r="AH459" s="212"/>
      <c r="AI459" s="212"/>
      <c r="AJ459" s="212"/>
      <c r="AK459" s="212"/>
      <c r="AL459" s="212"/>
      <c r="AM459" s="212"/>
      <c r="AN459" s="212"/>
      <c r="AO459" s="212"/>
      <c r="AP459" s="196"/>
      <c r="AQ459" s="196"/>
      <c r="AR459" s="211"/>
      <c r="AS459" s="212">
        <f t="shared" ref="AS459:AS522" si="65">(AU459-E459)/(MeasuredVariableHigher-MeasuredVariableLower)</f>
        <v>-5.0302801923862717E-9</v>
      </c>
      <c r="AT459" s="212">
        <f>[1]!LIM(AT458+Mode*r0*((1+IntegrationStep/2/Ti+Td/IntegrationStep)*AS459-(1-IntegrationStep/2/Ti+2*Td/IntegrationStep)*AS458+Td/IntegrationStep*AS457))</f>
        <v>0.40307867465474889</v>
      </c>
      <c r="AU459" s="212">
        <f t="shared" ref="AU459:AU522" si="66">SetPoint</f>
        <v>40.794124671602574</v>
      </c>
      <c r="AW459" s="58"/>
      <c r="AX459" s="58"/>
      <c r="AY459" s="58"/>
      <c r="AZ459" s="58"/>
    </row>
    <row r="460" spans="1:52" s="185" customFormat="1" ht="15" customHeight="1" x14ac:dyDescent="0.25">
      <c r="A460" s="200"/>
      <c r="B460" s="211"/>
      <c r="C460" s="212">
        <f t="shared" ref="C460:C523" si="67">C459+IntegrationStep</f>
        <v>44.900000000000368</v>
      </c>
      <c r="D460" s="231">
        <f>15+[1]!STEPLOAD(5)</f>
        <v>20</v>
      </c>
      <c r="E460" s="212">
        <f t="shared" si="60"/>
        <v>40.79412515461447</v>
      </c>
      <c r="F460" s="212">
        <f t="shared" si="61"/>
        <v>0.5</v>
      </c>
      <c r="G460" s="212">
        <f>5</f>
        <v>5</v>
      </c>
      <c r="H460" s="212">
        <f t="shared" ref="H460:H523" si="68">ManipulatedVariableHigher*AT460</f>
        <v>48.369441097001115</v>
      </c>
      <c r="I460" s="212">
        <f t="shared" si="62"/>
        <v>0.9</v>
      </c>
      <c r="J460" s="212">
        <f>1</f>
        <v>1</v>
      </c>
      <c r="K460" s="212">
        <f t="shared" si="63"/>
        <v>4.1870000000000003</v>
      </c>
      <c r="L460" s="212"/>
      <c r="M460" s="212"/>
      <c r="N460" s="212"/>
      <c r="O460" s="212"/>
      <c r="P460" s="212"/>
      <c r="Q460" s="212"/>
      <c r="R460" s="212"/>
      <c r="S460" s="212"/>
      <c r="T460" s="212"/>
      <c r="U460" s="212"/>
      <c r="V460" s="212"/>
      <c r="W460" s="212"/>
      <c r="X460" s="212"/>
      <c r="Y460" s="212"/>
      <c r="Z460" s="212"/>
      <c r="AA460" s="212"/>
      <c r="AB460" s="212"/>
      <c r="AC460" s="196"/>
      <c r="AD460" s="27"/>
      <c r="AE460" s="213"/>
      <c r="AF460" s="212">
        <f t="shared" si="64"/>
        <v>-1.922084735817009E-7</v>
      </c>
      <c r="AG460" s="212"/>
      <c r="AH460" s="212"/>
      <c r="AI460" s="212"/>
      <c r="AJ460" s="212"/>
      <c r="AK460" s="212"/>
      <c r="AL460" s="212"/>
      <c r="AM460" s="212"/>
      <c r="AN460" s="212"/>
      <c r="AO460" s="212"/>
      <c r="AP460" s="196"/>
      <c r="AQ460" s="196"/>
      <c r="AR460" s="211"/>
      <c r="AS460" s="212">
        <f t="shared" si="65"/>
        <v>-4.8301189536914539E-9</v>
      </c>
      <c r="AT460" s="212">
        <f>[1]!LIM(AT459+Mode*r0*((1+IntegrationStep/2/Ti+Td/IntegrationStep)*AS460-(1-IntegrationStep/2/Ti+2*Td/IntegrationStep)*AS459+Td/IntegrationStep*AS458))</f>
        <v>0.40307867580834261</v>
      </c>
      <c r="AU460" s="212">
        <f t="shared" si="66"/>
        <v>40.794124671602574</v>
      </c>
      <c r="AW460" s="58"/>
      <c r="AX460" s="58"/>
      <c r="AY460" s="58"/>
      <c r="AZ460" s="58"/>
    </row>
    <row r="461" spans="1:52" s="185" customFormat="1" ht="15" customHeight="1" x14ac:dyDescent="0.25">
      <c r="A461" s="200"/>
      <c r="B461" s="211"/>
      <c r="C461" s="212">
        <f t="shared" si="67"/>
        <v>45.000000000000369</v>
      </c>
      <c r="D461" s="231">
        <f>15+[1]!STEPLOAD(5)</f>
        <v>20</v>
      </c>
      <c r="E461" s="212">
        <f t="shared" ref="E461:E524" si="69">E460+(C461-C460)*AF460</f>
        <v>40.794125135393621</v>
      </c>
      <c r="F461" s="212">
        <f t="shared" ref="F461:F524" si="70">0.5</f>
        <v>0.5</v>
      </c>
      <c r="G461" s="212">
        <f>5</f>
        <v>5</v>
      </c>
      <c r="H461" s="212">
        <f t="shared" si="68"/>
        <v>48.369441229945728</v>
      </c>
      <c r="I461" s="212">
        <f t="shared" ref="I461:I524" si="71">0.9</f>
        <v>0.9</v>
      </c>
      <c r="J461" s="212">
        <f>1</f>
        <v>1</v>
      </c>
      <c r="K461" s="212">
        <f t="shared" ref="K461:K524" si="72">4.187</f>
        <v>4.1870000000000003</v>
      </c>
      <c r="L461" s="212"/>
      <c r="M461" s="212"/>
      <c r="N461" s="212"/>
      <c r="O461" s="212"/>
      <c r="P461" s="212"/>
      <c r="Q461" s="212"/>
      <c r="R461" s="212"/>
      <c r="S461" s="212"/>
      <c r="T461" s="212"/>
      <c r="U461" s="212"/>
      <c r="V461" s="212"/>
      <c r="W461" s="212"/>
      <c r="X461" s="212"/>
      <c r="Y461" s="212"/>
      <c r="Z461" s="212"/>
      <c r="AA461" s="212"/>
      <c r="AB461" s="212"/>
      <c r="AC461" s="196"/>
      <c r="AD461" s="27"/>
      <c r="AE461" s="213"/>
      <c r="AF461" s="212">
        <f t="shared" ref="AF461:AF524" si="73">F461/G461*(D461-E461)+H461*I461/G461/J461/K461</f>
        <v>-1.8457107220370972E-7</v>
      </c>
      <c r="AG461" s="212"/>
      <c r="AH461" s="212"/>
      <c r="AI461" s="212"/>
      <c r="AJ461" s="212"/>
      <c r="AK461" s="212"/>
      <c r="AL461" s="212"/>
      <c r="AM461" s="212"/>
      <c r="AN461" s="212"/>
      <c r="AO461" s="212"/>
      <c r="AP461" s="196"/>
      <c r="AQ461" s="196"/>
      <c r="AR461" s="211"/>
      <c r="AS461" s="212">
        <f t="shared" si="65"/>
        <v>-4.6379104645666302E-9</v>
      </c>
      <c r="AT461" s="212">
        <f>[1]!LIM(AT460+Mode*r0*((1+IntegrationStep/2/Ti+Td/IntegrationStep)*AS461-(1-IntegrationStep/2/Ti+2*Td/IntegrationStep)*AS460+Td/IntegrationStep*AS459))</f>
        <v>0.40307867691621441</v>
      </c>
      <c r="AU461" s="212">
        <f t="shared" si="66"/>
        <v>40.794124671602574</v>
      </c>
      <c r="AW461" s="58"/>
      <c r="AX461" s="58"/>
      <c r="AY461" s="58"/>
      <c r="AZ461" s="58"/>
    </row>
    <row r="462" spans="1:52" s="185" customFormat="1" ht="15" customHeight="1" x14ac:dyDescent="0.25">
      <c r="A462" s="200"/>
      <c r="B462" s="211"/>
      <c r="C462" s="212">
        <f t="shared" si="67"/>
        <v>45.100000000000371</v>
      </c>
      <c r="D462" s="231">
        <f>15+[1]!STEPLOAD(5)</f>
        <v>20</v>
      </c>
      <c r="E462" s="212">
        <f t="shared" si="69"/>
        <v>40.794125116936513</v>
      </c>
      <c r="F462" s="212">
        <f t="shared" si="70"/>
        <v>0.5</v>
      </c>
      <c r="G462" s="212">
        <f>5</f>
        <v>5</v>
      </c>
      <c r="H462" s="212">
        <f t="shared" si="68"/>
        <v>48.369441357620545</v>
      </c>
      <c r="I462" s="212">
        <f t="shared" si="71"/>
        <v>0.9</v>
      </c>
      <c r="J462" s="212">
        <f>1</f>
        <v>1</v>
      </c>
      <c r="K462" s="212">
        <f t="shared" si="72"/>
        <v>4.1870000000000003</v>
      </c>
      <c r="L462" s="212"/>
      <c r="M462" s="212"/>
      <c r="N462" s="212"/>
      <c r="O462" s="212"/>
      <c r="P462" s="212"/>
      <c r="Q462" s="212"/>
      <c r="R462" s="212"/>
      <c r="S462" s="212"/>
      <c r="T462" s="212"/>
      <c r="U462" s="212"/>
      <c r="V462" s="212"/>
      <c r="W462" s="212"/>
      <c r="X462" s="212"/>
      <c r="Y462" s="212"/>
      <c r="Z462" s="212"/>
      <c r="AA462" s="212"/>
      <c r="AB462" s="212"/>
      <c r="AC462" s="196"/>
      <c r="AD462" s="27"/>
      <c r="AE462" s="213"/>
      <c r="AF462" s="212">
        <f t="shared" si="73"/>
        <v>-1.772365947338983E-7</v>
      </c>
      <c r="AG462" s="212"/>
      <c r="AH462" s="212"/>
      <c r="AI462" s="212"/>
      <c r="AJ462" s="212"/>
      <c r="AK462" s="212"/>
      <c r="AL462" s="212"/>
      <c r="AM462" s="212"/>
      <c r="AN462" s="212"/>
      <c r="AO462" s="212"/>
      <c r="AP462" s="196"/>
      <c r="AQ462" s="196"/>
      <c r="AR462" s="211"/>
      <c r="AS462" s="212">
        <f t="shared" si="65"/>
        <v>-4.4533393861456719E-9</v>
      </c>
      <c r="AT462" s="212">
        <f>[1]!LIM(AT461+Mode*r0*((1+IntegrationStep/2/Ti+Td/IntegrationStep)*AS462-(1-IntegrationStep/2/Ti+2*Td/IntegrationStep)*AS461+Td/IntegrationStep*AS460))</f>
        <v>0.40307867798017122</v>
      </c>
      <c r="AU462" s="212">
        <f t="shared" si="66"/>
        <v>40.794124671602574</v>
      </c>
      <c r="AW462" s="58"/>
      <c r="AX462" s="58"/>
      <c r="AY462" s="58"/>
      <c r="AZ462" s="58"/>
    </row>
    <row r="463" spans="1:52" s="185" customFormat="1" ht="15" customHeight="1" x14ac:dyDescent="0.25">
      <c r="A463" s="200"/>
      <c r="B463" s="211"/>
      <c r="C463" s="212">
        <f t="shared" si="67"/>
        <v>45.200000000000372</v>
      </c>
      <c r="D463" s="231">
        <f>15+[1]!STEPLOAD(5)</f>
        <v>20</v>
      </c>
      <c r="E463" s="212">
        <f t="shared" si="69"/>
        <v>40.794125099212856</v>
      </c>
      <c r="F463" s="212">
        <f t="shared" si="70"/>
        <v>0.5</v>
      </c>
      <c r="G463" s="212">
        <f>5</f>
        <v>5</v>
      </c>
      <c r="H463" s="212">
        <f t="shared" si="68"/>
        <v>48.369441480233924</v>
      </c>
      <c r="I463" s="212">
        <f t="shared" si="71"/>
        <v>0.9</v>
      </c>
      <c r="J463" s="212">
        <f>1</f>
        <v>1</v>
      </c>
      <c r="K463" s="212">
        <f t="shared" si="72"/>
        <v>4.1870000000000003</v>
      </c>
      <c r="L463" s="212"/>
      <c r="M463" s="212"/>
      <c r="N463" s="212"/>
      <c r="O463" s="212"/>
      <c r="P463" s="212"/>
      <c r="Q463" s="212"/>
      <c r="R463" s="212"/>
      <c r="S463" s="212"/>
      <c r="T463" s="212"/>
      <c r="U463" s="212"/>
      <c r="V463" s="212"/>
      <c r="W463" s="212"/>
      <c r="X463" s="212"/>
      <c r="Y463" s="212"/>
      <c r="Z463" s="212"/>
      <c r="AA463" s="212"/>
      <c r="AB463" s="212"/>
      <c r="AC463" s="196"/>
      <c r="AD463" s="27"/>
      <c r="AE463" s="213"/>
      <c r="AF463" s="212">
        <f t="shared" si="73"/>
        <v>-1.7019305387222516E-7</v>
      </c>
      <c r="AG463" s="212"/>
      <c r="AH463" s="212"/>
      <c r="AI463" s="212"/>
      <c r="AJ463" s="212"/>
      <c r="AK463" s="212"/>
      <c r="AL463" s="212"/>
      <c r="AM463" s="212"/>
      <c r="AN463" s="212"/>
      <c r="AO463" s="212"/>
      <c r="AP463" s="196"/>
      <c r="AQ463" s="196"/>
      <c r="AR463" s="211"/>
      <c r="AS463" s="212">
        <f t="shared" si="65"/>
        <v>-4.2761028140603228E-9</v>
      </c>
      <c r="AT463" s="212">
        <f>[1]!LIM(AT462+Mode*r0*((1+IntegrationStep/2/Ti+Td/IntegrationStep)*AS463-(1-IntegrationStep/2/Ti+2*Td/IntegrationStep)*AS462+Td/IntegrationStep*AS461))</f>
        <v>0.40307867900194938</v>
      </c>
      <c r="AU463" s="212">
        <f t="shared" si="66"/>
        <v>40.794124671602574</v>
      </c>
      <c r="AW463" s="58"/>
      <c r="AX463" s="58"/>
      <c r="AY463" s="58"/>
      <c r="AZ463" s="58"/>
    </row>
    <row r="464" spans="1:52" s="185" customFormat="1" ht="15" customHeight="1" x14ac:dyDescent="0.25">
      <c r="A464" s="200"/>
      <c r="B464" s="211"/>
      <c r="C464" s="212">
        <f t="shared" si="67"/>
        <v>45.300000000000374</v>
      </c>
      <c r="D464" s="231">
        <f>15+[1]!STEPLOAD(5)</f>
        <v>20</v>
      </c>
      <c r="E464" s="212">
        <f t="shared" si="69"/>
        <v>40.794125082193553</v>
      </c>
      <c r="F464" s="212">
        <f t="shared" si="70"/>
        <v>0.5</v>
      </c>
      <c r="G464" s="212">
        <f>5</f>
        <v>5</v>
      </c>
      <c r="H464" s="212">
        <f t="shared" si="68"/>
        <v>48.369441597986103</v>
      </c>
      <c r="I464" s="212">
        <f t="shared" si="71"/>
        <v>0.9</v>
      </c>
      <c r="J464" s="212">
        <f>1</f>
        <v>1</v>
      </c>
      <c r="K464" s="212">
        <f t="shared" si="72"/>
        <v>4.1870000000000003</v>
      </c>
      <c r="L464" s="212"/>
      <c r="M464" s="212"/>
      <c r="N464" s="212"/>
      <c r="O464" s="212"/>
      <c r="P464" s="212"/>
      <c r="Q464" s="212"/>
      <c r="R464" s="212"/>
      <c r="S464" s="212"/>
      <c r="T464" s="212"/>
      <c r="U464" s="212"/>
      <c r="V464" s="212"/>
      <c r="W464" s="212"/>
      <c r="X464" s="212"/>
      <c r="Y464" s="212"/>
      <c r="Z464" s="212"/>
      <c r="AA464" s="212"/>
      <c r="AB464" s="212"/>
      <c r="AC464" s="196"/>
      <c r="AD464" s="27"/>
      <c r="AE464" s="213"/>
      <c r="AF464" s="212">
        <f t="shared" si="73"/>
        <v>-1.6342893349730048E-7</v>
      </c>
      <c r="AG464" s="212"/>
      <c r="AH464" s="212"/>
      <c r="AI464" s="212"/>
      <c r="AJ464" s="212"/>
      <c r="AK464" s="212"/>
      <c r="AL464" s="212"/>
      <c r="AM464" s="212"/>
      <c r="AN464" s="212"/>
      <c r="AO464" s="212"/>
      <c r="AP464" s="196"/>
      <c r="AQ464" s="196"/>
      <c r="AR464" s="211"/>
      <c r="AS464" s="212">
        <f t="shared" si="65"/>
        <v>-4.1059097810602911E-9</v>
      </c>
      <c r="AT464" s="212">
        <f>[1]!LIM(AT463+Mode*r0*((1+IntegrationStep/2/Ti+Td/IntegrationStep)*AS464-(1-IntegrationStep/2/Ti+2*Td/IntegrationStep)*AS463+Td/IntegrationStep*AS462))</f>
        <v>0.4030786799832175</v>
      </c>
      <c r="AU464" s="212">
        <f t="shared" si="66"/>
        <v>40.794124671602574</v>
      </c>
      <c r="AW464" s="58"/>
      <c r="AX464" s="58"/>
      <c r="AY464" s="58"/>
      <c r="AZ464" s="58"/>
    </row>
    <row r="465" spans="1:52" s="185" customFormat="1" ht="15" customHeight="1" x14ac:dyDescent="0.25">
      <c r="A465" s="200"/>
      <c r="B465" s="211"/>
      <c r="C465" s="212">
        <f t="shared" si="67"/>
        <v>45.400000000000375</v>
      </c>
      <c r="D465" s="231">
        <f>15+[1]!STEPLOAD(5)</f>
        <v>20</v>
      </c>
      <c r="E465" s="212">
        <f t="shared" si="69"/>
        <v>40.794125065850658</v>
      </c>
      <c r="F465" s="212">
        <f t="shared" si="70"/>
        <v>0.5</v>
      </c>
      <c r="G465" s="212">
        <f>5</f>
        <v>5</v>
      </c>
      <c r="H465" s="212">
        <f t="shared" si="68"/>
        <v>48.36944171106942</v>
      </c>
      <c r="I465" s="212">
        <f t="shared" si="71"/>
        <v>0.9</v>
      </c>
      <c r="J465" s="212">
        <f>1</f>
        <v>1</v>
      </c>
      <c r="K465" s="212">
        <f t="shared" si="72"/>
        <v>4.1870000000000003</v>
      </c>
      <c r="L465" s="212"/>
      <c r="M465" s="212"/>
      <c r="N465" s="212"/>
      <c r="O465" s="212"/>
      <c r="P465" s="212"/>
      <c r="Q465" s="212"/>
      <c r="R465" s="212"/>
      <c r="S465" s="212"/>
      <c r="T465" s="212"/>
      <c r="U465" s="212"/>
      <c r="V465" s="212"/>
      <c r="W465" s="212"/>
      <c r="X465" s="212"/>
      <c r="Y465" s="212"/>
      <c r="Z465" s="212"/>
      <c r="AA465" s="212"/>
      <c r="AB465" s="212"/>
      <c r="AC465" s="196"/>
      <c r="AD465" s="27"/>
      <c r="AE465" s="213"/>
      <c r="AF465" s="212">
        <f t="shared" si="73"/>
        <v>-1.5693316868237162E-7</v>
      </c>
      <c r="AG465" s="212"/>
      <c r="AH465" s="212"/>
      <c r="AI465" s="212"/>
      <c r="AJ465" s="212"/>
      <c r="AK465" s="212"/>
      <c r="AL465" s="212"/>
      <c r="AM465" s="212"/>
      <c r="AN465" s="212"/>
      <c r="AO465" s="212"/>
      <c r="AP465" s="196"/>
      <c r="AQ465" s="196"/>
      <c r="AR465" s="211"/>
      <c r="AS465" s="212">
        <f t="shared" si="65"/>
        <v>-3.9424808306876001E-9</v>
      </c>
      <c r="AT465" s="212">
        <f>[1]!LIM(AT464+Mode*r0*((1+IntegrationStep/2/Ti+Td/IntegrationStep)*AS465-(1-IntegrationStep/2/Ti+2*Td/IntegrationStep)*AS464+Td/IntegrationStep*AS463))</f>
        <v>0.40307868092557853</v>
      </c>
      <c r="AU465" s="212">
        <f t="shared" si="66"/>
        <v>40.794124671602574</v>
      </c>
      <c r="AW465" s="58"/>
      <c r="AX465" s="58"/>
      <c r="AY465" s="58"/>
      <c r="AZ465" s="58"/>
    </row>
    <row r="466" spans="1:52" s="185" customFormat="1" ht="15" customHeight="1" x14ac:dyDescent="0.25">
      <c r="A466" s="200"/>
      <c r="B466" s="211"/>
      <c r="C466" s="212">
        <f t="shared" si="67"/>
        <v>45.500000000000377</v>
      </c>
      <c r="D466" s="231">
        <f>15+[1]!STEPLOAD(5)</f>
        <v>20</v>
      </c>
      <c r="E466" s="212">
        <f t="shared" si="69"/>
        <v>40.794125050157341</v>
      </c>
      <c r="F466" s="212">
        <f t="shared" si="70"/>
        <v>0.5</v>
      </c>
      <c r="G466" s="212">
        <f>5</f>
        <v>5</v>
      </c>
      <c r="H466" s="212">
        <f t="shared" si="68"/>
        <v>48.369441819668488</v>
      </c>
      <c r="I466" s="212">
        <f t="shared" si="71"/>
        <v>0.9</v>
      </c>
      <c r="J466" s="212">
        <f>1</f>
        <v>1</v>
      </c>
      <c r="K466" s="212">
        <f t="shared" si="72"/>
        <v>4.1870000000000003</v>
      </c>
      <c r="L466" s="212"/>
      <c r="M466" s="212"/>
      <c r="N466" s="212"/>
      <c r="O466" s="212"/>
      <c r="P466" s="212"/>
      <c r="Q466" s="212"/>
      <c r="R466" s="212"/>
      <c r="S466" s="212"/>
      <c r="T466" s="212"/>
      <c r="U466" s="212"/>
      <c r="V466" s="212"/>
      <c r="W466" s="212"/>
      <c r="X466" s="212"/>
      <c r="Y466" s="212"/>
      <c r="Z466" s="212"/>
      <c r="AA466" s="212"/>
      <c r="AB466" s="212"/>
      <c r="AC466" s="196"/>
      <c r="AD466" s="27"/>
      <c r="AE466" s="213"/>
      <c r="AF466" s="212">
        <f t="shared" si="73"/>
        <v>-1.5069514036625264E-7</v>
      </c>
      <c r="AG466" s="212"/>
      <c r="AH466" s="212"/>
      <c r="AI466" s="212"/>
      <c r="AJ466" s="212"/>
      <c r="AK466" s="212"/>
      <c r="AL466" s="212"/>
      <c r="AM466" s="212"/>
      <c r="AN466" s="212"/>
      <c r="AO466" s="212"/>
      <c r="AP466" s="196"/>
      <c r="AQ466" s="196"/>
      <c r="AR466" s="211"/>
      <c r="AS466" s="212">
        <f t="shared" si="65"/>
        <v>-3.7855476620052284E-9</v>
      </c>
      <c r="AT466" s="212">
        <f>[1]!LIM(AT465+Mode*r0*((1+IntegrationStep/2/Ti+Td/IntegrationStep)*AS466-(1-IntegrationStep/2/Ti+2*Td/IntegrationStep)*AS465+Td/IntegrationStep*AS464))</f>
        <v>0.40307868183057072</v>
      </c>
      <c r="AU466" s="212">
        <f t="shared" si="66"/>
        <v>40.794124671602574</v>
      </c>
      <c r="AW466" s="58"/>
      <c r="AX466" s="58"/>
      <c r="AY466" s="58"/>
      <c r="AZ466" s="58"/>
    </row>
    <row r="467" spans="1:52" s="185" customFormat="1" ht="15" customHeight="1" x14ac:dyDescent="0.25">
      <c r="A467" s="200"/>
      <c r="B467" s="211"/>
      <c r="C467" s="212">
        <f t="shared" si="67"/>
        <v>45.600000000000378</v>
      </c>
      <c r="D467" s="231">
        <f>15+[1]!STEPLOAD(5)</f>
        <v>20</v>
      </c>
      <c r="E467" s="212">
        <f t="shared" si="69"/>
        <v>40.794125035087824</v>
      </c>
      <c r="F467" s="212">
        <f t="shared" si="70"/>
        <v>0.5</v>
      </c>
      <c r="G467" s="212">
        <f>5</f>
        <v>5</v>
      </c>
      <c r="H467" s="212">
        <f t="shared" si="68"/>
        <v>48.369441923960792</v>
      </c>
      <c r="I467" s="212">
        <f t="shared" si="71"/>
        <v>0.9</v>
      </c>
      <c r="J467" s="212">
        <f>1</f>
        <v>1</v>
      </c>
      <c r="K467" s="212">
        <f t="shared" si="72"/>
        <v>4.1870000000000003</v>
      </c>
      <c r="L467" s="212"/>
      <c r="M467" s="212"/>
      <c r="N467" s="212"/>
      <c r="O467" s="212"/>
      <c r="P467" s="212"/>
      <c r="Q467" s="212"/>
      <c r="R467" s="212"/>
      <c r="S467" s="212"/>
      <c r="T467" s="212"/>
      <c r="U467" s="212"/>
      <c r="V467" s="212"/>
      <c r="W467" s="212"/>
      <c r="X467" s="212"/>
      <c r="Y467" s="212"/>
      <c r="Z467" s="212"/>
      <c r="AA467" s="212"/>
      <c r="AB467" s="212"/>
      <c r="AC467" s="196"/>
      <c r="AD467" s="27"/>
      <c r="AE467" s="213"/>
      <c r="AF467" s="212">
        <f t="shared" si="73"/>
        <v>-1.4470463982618753E-7</v>
      </c>
      <c r="AG467" s="212"/>
      <c r="AH467" s="212"/>
      <c r="AI467" s="212"/>
      <c r="AJ467" s="212"/>
      <c r="AK467" s="212"/>
      <c r="AL467" s="212"/>
      <c r="AM467" s="212"/>
      <c r="AN467" s="212"/>
      <c r="AO467" s="212"/>
      <c r="AP467" s="196"/>
      <c r="AQ467" s="196"/>
      <c r="AR467" s="211"/>
      <c r="AS467" s="212">
        <f t="shared" si="65"/>
        <v>-3.6348524901086422E-9</v>
      </c>
      <c r="AT467" s="212">
        <f>[1]!LIM(AT466+Mode*r0*((1+IntegrationStep/2/Ti+Td/IntegrationStep)*AS467-(1-IntegrationStep/2/Ti+2*Td/IntegrationStep)*AS466+Td/IntegrationStep*AS465))</f>
        <v>0.40307868269967329</v>
      </c>
      <c r="AU467" s="212">
        <f t="shared" si="66"/>
        <v>40.794124671602574</v>
      </c>
      <c r="AW467" s="58"/>
      <c r="AX467" s="58"/>
      <c r="AY467" s="58"/>
      <c r="AZ467" s="58"/>
    </row>
    <row r="468" spans="1:52" s="185" customFormat="1" ht="15" customHeight="1" x14ac:dyDescent="0.25">
      <c r="A468" s="200"/>
      <c r="B468" s="211"/>
      <c r="C468" s="212">
        <f t="shared" si="67"/>
        <v>45.700000000000379</v>
      </c>
      <c r="D468" s="231">
        <f>15+[1]!STEPLOAD(5)</f>
        <v>20</v>
      </c>
      <c r="E468" s="212">
        <f t="shared" si="69"/>
        <v>40.794125020617358</v>
      </c>
      <c r="F468" s="212">
        <f t="shared" si="70"/>
        <v>0.5</v>
      </c>
      <c r="G468" s="212">
        <f>5</f>
        <v>5</v>
      </c>
      <c r="H468" s="212">
        <f t="shared" si="68"/>
        <v>48.369442024116672</v>
      </c>
      <c r="I468" s="212">
        <f t="shared" si="71"/>
        <v>0.9</v>
      </c>
      <c r="J468" s="212">
        <f>1</f>
        <v>1</v>
      </c>
      <c r="K468" s="212">
        <f t="shared" si="72"/>
        <v>4.1870000000000003</v>
      </c>
      <c r="L468" s="212"/>
      <c r="M468" s="212"/>
      <c r="N468" s="212"/>
      <c r="O468" s="212"/>
      <c r="P468" s="212"/>
      <c r="Q468" s="212"/>
      <c r="R468" s="212"/>
      <c r="S468" s="212"/>
      <c r="T468" s="212"/>
      <c r="U468" s="212"/>
      <c r="V468" s="212"/>
      <c r="W468" s="212"/>
      <c r="X468" s="212"/>
      <c r="Y468" s="212"/>
      <c r="Z468" s="212"/>
      <c r="AA468" s="212"/>
      <c r="AB468" s="212"/>
      <c r="AC468" s="196"/>
      <c r="AD468" s="27"/>
      <c r="AE468" s="213"/>
      <c r="AF468" s="212">
        <f t="shared" si="73"/>
        <v>-1.3895187178647461E-7</v>
      </c>
      <c r="AG468" s="212"/>
      <c r="AH468" s="212"/>
      <c r="AI468" s="212"/>
      <c r="AJ468" s="212"/>
      <c r="AK468" s="212"/>
      <c r="AL468" s="212"/>
      <c r="AM468" s="212"/>
      <c r="AN468" s="212"/>
      <c r="AO468" s="212"/>
      <c r="AP468" s="196"/>
      <c r="AQ468" s="196"/>
      <c r="AR468" s="211"/>
      <c r="AS468" s="212">
        <f t="shared" si="65"/>
        <v>-3.4901478329629755E-9</v>
      </c>
      <c r="AT468" s="212">
        <f>[1]!LIM(AT467+Mode*r0*((1+IntegrationStep/2/Ti+Td/IntegrationStep)*AS468-(1-IntegrationStep/2/Ti+2*Td/IntegrationStep)*AS467+Td/IntegrationStep*AS466))</f>
        <v>0.40307868353430559</v>
      </c>
      <c r="AU468" s="212">
        <f t="shared" si="66"/>
        <v>40.794124671602574</v>
      </c>
      <c r="AW468" s="58"/>
      <c r="AX468" s="58"/>
      <c r="AY468" s="58"/>
      <c r="AZ468" s="58"/>
    </row>
    <row r="469" spans="1:52" s="185" customFormat="1" ht="15" customHeight="1" x14ac:dyDescent="0.25">
      <c r="A469" s="200"/>
      <c r="B469" s="211"/>
      <c r="C469" s="212">
        <f t="shared" si="67"/>
        <v>45.800000000000381</v>
      </c>
      <c r="D469" s="231">
        <f>15+[1]!STEPLOAD(5)</f>
        <v>20</v>
      </c>
      <c r="E469" s="212">
        <f t="shared" si="69"/>
        <v>40.794125006722169</v>
      </c>
      <c r="F469" s="212">
        <f t="shared" si="70"/>
        <v>0.5</v>
      </c>
      <c r="G469" s="212">
        <f>5</f>
        <v>5</v>
      </c>
      <c r="H469" s="212">
        <f t="shared" si="68"/>
        <v>48.369442120299837</v>
      </c>
      <c r="I469" s="212">
        <f t="shared" si="71"/>
        <v>0.9</v>
      </c>
      <c r="J469" s="212">
        <f>1</f>
        <v>1</v>
      </c>
      <c r="K469" s="212">
        <f t="shared" si="72"/>
        <v>4.1870000000000003</v>
      </c>
      <c r="L469" s="212"/>
      <c r="M469" s="212"/>
      <c r="N469" s="212"/>
      <c r="O469" s="212"/>
      <c r="P469" s="212"/>
      <c r="Q469" s="212"/>
      <c r="R469" s="212"/>
      <c r="S469" s="212"/>
      <c r="T469" s="212"/>
      <c r="U469" s="212"/>
      <c r="V469" s="212"/>
      <c r="W469" s="212"/>
      <c r="X469" s="212"/>
      <c r="Y469" s="212"/>
      <c r="Z469" s="212"/>
      <c r="AA469" s="212"/>
      <c r="AB469" s="212"/>
      <c r="AC469" s="196"/>
      <c r="AD469" s="27"/>
      <c r="AE469" s="213"/>
      <c r="AF469" s="212">
        <f t="shared" si="73"/>
        <v>-1.3342741889132981E-7</v>
      </c>
      <c r="AG469" s="212"/>
      <c r="AH469" s="212"/>
      <c r="AI469" s="212"/>
      <c r="AJ469" s="212"/>
      <c r="AK469" s="212"/>
      <c r="AL469" s="212"/>
      <c r="AM469" s="212"/>
      <c r="AN469" s="212"/>
      <c r="AO469" s="212"/>
      <c r="AP469" s="196"/>
      <c r="AQ469" s="196"/>
      <c r="AR469" s="211"/>
      <c r="AS469" s="212">
        <f t="shared" si="65"/>
        <v>-3.3511959429688433E-9</v>
      </c>
      <c r="AT469" s="212">
        <f>[1]!LIM(AT468+Mode*r0*((1+IntegrationStep/2/Ti+Td/IntegrationStep)*AS469-(1-IntegrationStep/2/Ti+2*Td/IntegrationStep)*AS468+Td/IntegrationStep*AS467))</f>
        <v>0.40307868433583199</v>
      </c>
      <c r="AU469" s="212">
        <f t="shared" si="66"/>
        <v>40.794124671602574</v>
      </c>
      <c r="AW469" s="58"/>
      <c r="AX469" s="58"/>
      <c r="AY469" s="58"/>
      <c r="AZ469" s="58"/>
    </row>
    <row r="470" spans="1:52" s="185" customFormat="1" ht="15" customHeight="1" x14ac:dyDescent="0.25">
      <c r="A470" s="200"/>
      <c r="B470" s="211"/>
      <c r="C470" s="212">
        <f t="shared" si="67"/>
        <v>45.900000000000382</v>
      </c>
      <c r="D470" s="231">
        <f>15+[1]!STEPLOAD(5)</f>
        <v>20</v>
      </c>
      <c r="E470" s="212">
        <f t="shared" si="69"/>
        <v>40.794124993379427</v>
      </c>
      <c r="F470" s="212">
        <f t="shared" si="70"/>
        <v>0.5</v>
      </c>
      <c r="G470" s="212">
        <f>5</f>
        <v>5</v>
      </c>
      <c r="H470" s="212">
        <f t="shared" si="68"/>
        <v>48.369442212667494</v>
      </c>
      <c r="I470" s="212">
        <f t="shared" si="71"/>
        <v>0.9</v>
      </c>
      <c r="J470" s="212">
        <f>1</f>
        <v>1</v>
      </c>
      <c r="K470" s="212">
        <f t="shared" si="72"/>
        <v>4.1870000000000003</v>
      </c>
      <c r="L470" s="212"/>
      <c r="M470" s="212"/>
      <c r="N470" s="212"/>
      <c r="O470" s="212"/>
      <c r="P470" s="212"/>
      <c r="Q470" s="212"/>
      <c r="R470" s="212"/>
      <c r="S470" s="212"/>
      <c r="T470" s="212"/>
      <c r="U470" s="212"/>
      <c r="V470" s="212"/>
      <c r="W470" s="212"/>
      <c r="X470" s="212"/>
      <c r="Y470" s="212"/>
      <c r="Z470" s="212"/>
      <c r="AA470" s="212"/>
      <c r="AB470" s="212"/>
      <c r="AC470" s="196"/>
      <c r="AD470" s="27"/>
      <c r="AE470" s="213"/>
      <c r="AF470" s="212">
        <f t="shared" si="73"/>
        <v>-1.2812223948444057E-7</v>
      </c>
      <c r="AG470" s="212"/>
      <c r="AH470" s="212"/>
      <c r="AI470" s="212"/>
      <c r="AJ470" s="212"/>
      <c r="AK470" s="212"/>
      <c r="AL470" s="212"/>
      <c r="AM470" s="212"/>
      <c r="AN470" s="212"/>
      <c r="AO470" s="212"/>
      <c r="AP470" s="196"/>
      <c r="AQ470" s="196"/>
      <c r="AR470" s="211"/>
      <c r="AS470" s="212">
        <f t="shared" si="65"/>
        <v>-3.2177685227452455E-9</v>
      </c>
      <c r="AT470" s="212">
        <f>[1]!LIM(AT469+Mode*r0*((1+IntegrationStep/2/Ti+Td/IntegrationStep)*AS470-(1-IntegrationStep/2/Ti+2*Td/IntegrationStep)*AS469+Td/IntegrationStep*AS468))</f>
        <v>0.40307868510556244</v>
      </c>
      <c r="AU470" s="212">
        <f t="shared" si="66"/>
        <v>40.794124671602574</v>
      </c>
      <c r="AW470" s="58"/>
      <c r="AX470" s="58"/>
      <c r="AY470" s="58"/>
      <c r="AZ470" s="58"/>
    </row>
    <row r="471" spans="1:52" s="185" customFormat="1" ht="15" customHeight="1" x14ac:dyDescent="0.25">
      <c r="A471" s="200"/>
      <c r="B471" s="211"/>
      <c r="C471" s="212">
        <f t="shared" si="67"/>
        <v>46.000000000000384</v>
      </c>
      <c r="D471" s="231">
        <f>15+[1]!STEPLOAD(5)</f>
        <v>20</v>
      </c>
      <c r="E471" s="212">
        <f t="shared" si="69"/>
        <v>40.794124980567204</v>
      </c>
      <c r="F471" s="212">
        <f t="shared" si="70"/>
        <v>0.5</v>
      </c>
      <c r="G471" s="212">
        <f>5</f>
        <v>5</v>
      </c>
      <c r="H471" s="212">
        <f t="shared" si="68"/>
        <v>48.369442301370661</v>
      </c>
      <c r="I471" s="212">
        <f t="shared" si="71"/>
        <v>0.9</v>
      </c>
      <c r="J471" s="212">
        <f>1</f>
        <v>1</v>
      </c>
      <c r="K471" s="212">
        <f t="shared" si="72"/>
        <v>4.1870000000000003</v>
      </c>
      <c r="L471" s="212"/>
      <c r="M471" s="212"/>
      <c r="N471" s="212"/>
      <c r="O471" s="212"/>
      <c r="P471" s="212"/>
      <c r="Q471" s="212"/>
      <c r="R471" s="212"/>
      <c r="S471" s="212"/>
      <c r="T471" s="212"/>
      <c r="U471" s="212"/>
      <c r="V471" s="212"/>
      <c r="W471" s="212"/>
      <c r="X471" s="212"/>
      <c r="Y471" s="212"/>
      <c r="Z471" s="212"/>
      <c r="AA471" s="212"/>
      <c r="AB471" s="212"/>
      <c r="AC471" s="196"/>
      <c r="AD471" s="27"/>
      <c r="AE471" s="213"/>
      <c r="AF471" s="212">
        <f t="shared" si="73"/>
        <v>-1.2302764940130828E-7</v>
      </c>
      <c r="AG471" s="212"/>
      <c r="AH471" s="212"/>
      <c r="AI471" s="212"/>
      <c r="AJ471" s="212"/>
      <c r="AK471" s="212"/>
      <c r="AL471" s="212"/>
      <c r="AM471" s="212"/>
      <c r="AN471" s="212"/>
      <c r="AO471" s="212"/>
      <c r="AP471" s="196"/>
      <c r="AQ471" s="196"/>
      <c r="AR471" s="211"/>
      <c r="AS471" s="212">
        <f t="shared" si="65"/>
        <v>-3.0896462988039275E-9</v>
      </c>
      <c r="AT471" s="212">
        <f>[1]!LIM(AT470+Mode*r0*((1+IntegrationStep/2/Ti+Td/IntegrationStep)*AS471-(1-IntegrationStep/2/Ti+2*Td/IntegrationStep)*AS470+Td/IntegrationStep*AS469))</f>
        <v>0.40307868584475554</v>
      </c>
      <c r="AU471" s="212">
        <f t="shared" si="66"/>
        <v>40.794124671602574</v>
      </c>
      <c r="AW471" s="58"/>
      <c r="AX471" s="58"/>
      <c r="AY471" s="58"/>
      <c r="AZ471" s="58"/>
    </row>
    <row r="472" spans="1:52" s="185" customFormat="1" ht="15" customHeight="1" x14ac:dyDescent="0.25">
      <c r="A472" s="200"/>
      <c r="B472" s="211"/>
      <c r="C472" s="212">
        <f t="shared" si="67"/>
        <v>46.100000000000385</v>
      </c>
      <c r="D472" s="231">
        <f>15+[1]!STEPLOAD(5)</f>
        <v>20</v>
      </c>
      <c r="E472" s="212">
        <f t="shared" si="69"/>
        <v>40.794124968264441</v>
      </c>
      <c r="F472" s="212">
        <f t="shared" si="70"/>
        <v>0.5</v>
      </c>
      <c r="G472" s="212">
        <f>5</f>
        <v>5</v>
      </c>
      <c r="H472" s="212">
        <f t="shared" si="68"/>
        <v>48.369442386554447</v>
      </c>
      <c r="I472" s="212">
        <f t="shared" si="71"/>
        <v>0.9</v>
      </c>
      <c r="J472" s="212">
        <f>1</f>
        <v>1</v>
      </c>
      <c r="K472" s="212">
        <f t="shared" si="72"/>
        <v>4.1870000000000003</v>
      </c>
      <c r="L472" s="212"/>
      <c r="M472" s="212"/>
      <c r="N472" s="212"/>
      <c r="O472" s="212"/>
      <c r="P472" s="212"/>
      <c r="Q472" s="212"/>
      <c r="R472" s="212"/>
      <c r="S472" s="212"/>
      <c r="T472" s="212"/>
      <c r="U472" s="212"/>
      <c r="V472" s="212"/>
      <c r="W472" s="212"/>
      <c r="X472" s="212"/>
      <c r="Y472" s="212"/>
      <c r="Z472" s="212"/>
      <c r="AA472" s="212"/>
      <c r="AB472" s="212"/>
      <c r="AC472" s="196"/>
      <c r="AD472" s="27"/>
      <c r="AE472" s="213"/>
      <c r="AF472" s="212">
        <f t="shared" si="73"/>
        <v>-1.1813530464976907E-7</v>
      </c>
      <c r="AG472" s="212"/>
      <c r="AH472" s="212"/>
      <c r="AI472" s="212"/>
      <c r="AJ472" s="212"/>
      <c r="AK472" s="212"/>
      <c r="AL472" s="212"/>
      <c r="AM472" s="212"/>
      <c r="AN472" s="212"/>
      <c r="AO472" s="212"/>
      <c r="AP472" s="196"/>
      <c r="AQ472" s="196"/>
      <c r="AR472" s="211"/>
      <c r="AS472" s="212">
        <f t="shared" si="65"/>
        <v>-2.9666186662780093E-9</v>
      </c>
      <c r="AT472" s="212">
        <f>[1]!LIM(AT471+Mode*r0*((1+IntegrationStep/2/Ti+Td/IntegrationStep)*AS472-(1-IntegrationStep/2/Ti+2*Td/IntegrationStep)*AS471+Td/IntegrationStep*AS470))</f>
        <v>0.40307868655462037</v>
      </c>
      <c r="AU472" s="212">
        <f t="shared" si="66"/>
        <v>40.794124671602574</v>
      </c>
      <c r="AW472" s="58"/>
      <c r="AX472" s="58"/>
      <c r="AY472" s="58"/>
      <c r="AZ472" s="58"/>
    </row>
    <row r="473" spans="1:52" s="185" customFormat="1" ht="15" customHeight="1" x14ac:dyDescent="0.25">
      <c r="A473" s="200"/>
      <c r="B473" s="211"/>
      <c r="C473" s="212">
        <f t="shared" si="67"/>
        <v>46.200000000000387</v>
      </c>
      <c r="D473" s="231">
        <f>15+[1]!STEPLOAD(5)</f>
        <v>20</v>
      </c>
      <c r="E473" s="212">
        <f t="shared" si="69"/>
        <v>40.794124956450908</v>
      </c>
      <c r="F473" s="212">
        <f t="shared" si="70"/>
        <v>0.5</v>
      </c>
      <c r="G473" s="212">
        <f>5</f>
        <v>5</v>
      </c>
      <c r="H473" s="212">
        <f t="shared" si="68"/>
        <v>48.369442468358251</v>
      </c>
      <c r="I473" s="212">
        <f t="shared" si="71"/>
        <v>0.9</v>
      </c>
      <c r="J473" s="212">
        <f>1</f>
        <v>1</v>
      </c>
      <c r="K473" s="212">
        <f t="shared" si="72"/>
        <v>4.1870000000000003</v>
      </c>
      <c r="L473" s="212"/>
      <c r="M473" s="212"/>
      <c r="N473" s="212"/>
      <c r="O473" s="212"/>
      <c r="P473" s="212"/>
      <c r="Q473" s="212"/>
      <c r="R473" s="212"/>
      <c r="S473" s="212"/>
      <c r="T473" s="212"/>
      <c r="U473" s="212"/>
      <c r="V473" s="212"/>
      <c r="W473" s="212"/>
      <c r="X473" s="212"/>
      <c r="Y473" s="212"/>
      <c r="Z473" s="212"/>
      <c r="AA473" s="212"/>
      <c r="AB473" s="212"/>
      <c r="AC473" s="196"/>
      <c r="AD473" s="27"/>
      <c r="AE473" s="213"/>
      <c r="AF473" s="212">
        <f t="shared" si="73"/>
        <v>-1.1343718941958514E-7</v>
      </c>
      <c r="AG473" s="212"/>
      <c r="AH473" s="212"/>
      <c r="AI473" s="212"/>
      <c r="AJ473" s="212"/>
      <c r="AK473" s="212"/>
      <c r="AL473" s="212"/>
      <c r="AM473" s="212"/>
      <c r="AN473" s="212"/>
      <c r="AO473" s="212"/>
      <c r="AP473" s="196"/>
      <c r="AQ473" s="196"/>
      <c r="AR473" s="211"/>
      <c r="AS473" s="212">
        <f t="shared" si="65"/>
        <v>-2.84848333365062E-9</v>
      </c>
      <c r="AT473" s="212">
        <f>[1]!LIM(AT472+Mode*r0*((1+IntegrationStep/2/Ti+Td/IntegrationStep)*AS473-(1-IntegrationStep/2/Ti+2*Td/IntegrationStep)*AS472+Td/IntegrationStep*AS471))</f>
        <v>0.40307868723631873</v>
      </c>
      <c r="AU473" s="212">
        <f t="shared" si="66"/>
        <v>40.794124671602574</v>
      </c>
      <c r="AW473" s="58"/>
      <c r="AX473" s="58"/>
      <c r="AY473" s="58"/>
      <c r="AZ473" s="58"/>
    </row>
    <row r="474" spans="1:52" s="185" customFormat="1" ht="15" customHeight="1" x14ac:dyDescent="0.25">
      <c r="A474" s="200"/>
      <c r="B474" s="211"/>
      <c r="C474" s="212">
        <f t="shared" si="67"/>
        <v>46.300000000000388</v>
      </c>
      <c r="D474" s="231">
        <f>15+[1]!STEPLOAD(5)</f>
        <v>20</v>
      </c>
      <c r="E474" s="212">
        <f t="shared" si="69"/>
        <v>40.794124945107185</v>
      </c>
      <c r="F474" s="212">
        <f t="shared" si="70"/>
        <v>0.5</v>
      </c>
      <c r="G474" s="212">
        <f>5</f>
        <v>5</v>
      </c>
      <c r="H474" s="212">
        <f t="shared" si="68"/>
        <v>48.369442546915842</v>
      </c>
      <c r="I474" s="212">
        <f t="shared" si="71"/>
        <v>0.9</v>
      </c>
      <c r="J474" s="212">
        <f>1</f>
        <v>1</v>
      </c>
      <c r="K474" s="212">
        <f t="shared" si="72"/>
        <v>4.1870000000000003</v>
      </c>
      <c r="L474" s="212"/>
      <c r="M474" s="212"/>
      <c r="N474" s="212"/>
      <c r="O474" s="212"/>
      <c r="P474" s="212"/>
      <c r="Q474" s="212"/>
      <c r="R474" s="212"/>
      <c r="S474" s="212"/>
      <c r="T474" s="212"/>
      <c r="U474" s="212"/>
      <c r="V474" s="212"/>
      <c r="W474" s="212"/>
      <c r="X474" s="212"/>
      <c r="Y474" s="212"/>
      <c r="Z474" s="212"/>
      <c r="AA474" s="212"/>
      <c r="AB474" s="212"/>
      <c r="AC474" s="196"/>
      <c r="AD474" s="27"/>
      <c r="AE474" s="213"/>
      <c r="AF474" s="212">
        <f t="shared" si="73"/>
        <v>-1.0892560986519584E-7</v>
      </c>
      <c r="AG474" s="212"/>
      <c r="AH474" s="212"/>
      <c r="AI474" s="212"/>
      <c r="AJ474" s="212"/>
      <c r="AK474" s="212"/>
      <c r="AL474" s="212"/>
      <c r="AM474" s="212"/>
      <c r="AN474" s="212"/>
      <c r="AO474" s="212"/>
      <c r="AP474" s="196"/>
      <c r="AQ474" s="196"/>
      <c r="AR474" s="211"/>
      <c r="AS474" s="212">
        <f t="shared" si="65"/>
        <v>-2.7350461095920765E-9</v>
      </c>
      <c r="AT474" s="212">
        <f>[1]!LIM(AT473+Mode*r0*((1+IntegrationStep/2/Ti+Td/IntegrationStep)*AS474-(1-IntegrationStep/2/Ti+2*Td/IntegrationStep)*AS473+Td/IntegrationStep*AS472))</f>
        <v>0.40307868789096535</v>
      </c>
      <c r="AU474" s="212">
        <f t="shared" si="66"/>
        <v>40.794124671602574</v>
      </c>
      <c r="AW474" s="58"/>
      <c r="AX474" s="58"/>
      <c r="AY474" s="58"/>
      <c r="AZ474" s="58"/>
    </row>
    <row r="475" spans="1:52" s="185" customFormat="1" ht="15" customHeight="1" x14ac:dyDescent="0.25">
      <c r="A475" s="200"/>
      <c r="B475" s="211"/>
      <c r="C475" s="212">
        <f t="shared" si="67"/>
        <v>46.400000000000389</v>
      </c>
      <c r="D475" s="231">
        <f>15+[1]!STEPLOAD(5)</f>
        <v>20</v>
      </c>
      <c r="E475" s="212">
        <f t="shared" si="69"/>
        <v>40.794124934214622</v>
      </c>
      <c r="F475" s="212">
        <f t="shared" si="70"/>
        <v>0.5</v>
      </c>
      <c r="G475" s="212">
        <f>5</f>
        <v>5</v>
      </c>
      <c r="H475" s="212">
        <f t="shared" si="68"/>
        <v>48.369442622355734</v>
      </c>
      <c r="I475" s="212">
        <f t="shared" si="71"/>
        <v>0.9</v>
      </c>
      <c r="J475" s="212">
        <f>1</f>
        <v>1</v>
      </c>
      <c r="K475" s="212">
        <f t="shared" si="72"/>
        <v>4.1870000000000003</v>
      </c>
      <c r="L475" s="212"/>
      <c r="M475" s="212"/>
      <c r="N475" s="212"/>
      <c r="O475" s="212"/>
      <c r="P475" s="212"/>
      <c r="Q475" s="212"/>
      <c r="R475" s="212"/>
      <c r="S475" s="212"/>
      <c r="T475" s="212"/>
      <c r="U475" s="212"/>
      <c r="V475" s="212"/>
      <c r="W475" s="212"/>
      <c r="X475" s="212"/>
      <c r="Y475" s="212"/>
      <c r="Z475" s="212"/>
      <c r="AA475" s="212"/>
      <c r="AB475" s="212"/>
      <c r="AC475" s="196"/>
      <c r="AD475" s="27"/>
      <c r="AE475" s="213"/>
      <c r="AF475" s="212">
        <f t="shared" si="73"/>
        <v>-1.0459317634214926E-7</v>
      </c>
      <c r="AG475" s="212"/>
      <c r="AH475" s="212"/>
      <c r="AI475" s="212"/>
      <c r="AJ475" s="212"/>
      <c r="AK475" s="212"/>
      <c r="AL475" s="212"/>
      <c r="AM475" s="212"/>
      <c r="AN475" s="212"/>
      <c r="AO475" s="212"/>
      <c r="AP475" s="196"/>
      <c r="AQ475" s="196"/>
      <c r="AR475" s="211"/>
      <c r="AS475" s="212">
        <f t="shared" si="65"/>
        <v>-2.6261204766342415E-9</v>
      </c>
      <c r="AT475" s="212">
        <f>[1]!LIM(AT474+Mode*r0*((1+IntegrationStep/2/Ti+Td/IntegrationStep)*AS475-(1-IntegrationStep/2/Ti+2*Td/IntegrationStep)*AS474+Td/IntegrationStep*AS473))</f>
        <v>0.40307868851963113</v>
      </c>
      <c r="AU475" s="212">
        <f t="shared" si="66"/>
        <v>40.794124671602574</v>
      </c>
      <c r="AW475" s="58"/>
      <c r="AX475" s="58"/>
      <c r="AY475" s="58"/>
      <c r="AZ475" s="58"/>
    </row>
    <row r="476" spans="1:52" s="185" customFormat="1" ht="15" customHeight="1" x14ac:dyDescent="0.25">
      <c r="A476" s="200"/>
      <c r="B476" s="211"/>
      <c r="C476" s="212">
        <f t="shared" si="67"/>
        <v>46.500000000000391</v>
      </c>
      <c r="D476" s="231">
        <f>15+[1]!STEPLOAD(5)</f>
        <v>20</v>
      </c>
      <c r="E476" s="212">
        <f t="shared" si="69"/>
        <v>40.794124923755305</v>
      </c>
      <c r="F476" s="212">
        <f t="shared" si="70"/>
        <v>0.5</v>
      </c>
      <c r="G476" s="212">
        <f>5</f>
        <v>5</v>
      </c>
      <c r="H476" s="212">
        <f t="shared" si="68"/>
        <v>48.369442694801364</v>
      </c>
      <c r="I476" s="212">
        <f t="shared" si="71"/>
        <v>0.9</v>
      </c>
      <c r="J476" s="212">
        <f>1</f>
        <v>1</v>
      </c>
      <c r="K476" s="212">
        <f t="shared" si="72"/>
        <v>4.1870000000000003</v>
      </c>
      <c r="L476" s="212"/>
      <c r="M476" s="212"/>
      <c r="N476" s="212"/>
      <c r="O476" s="212"/>
      <c r="P476" s="212"/>
      <c r="Q476" s="212"/>
      <c r="R476" s="212"/>
      <c r="S476" s="212"/>
      <c r="T476" s="212"/>
      <c r="U476" s="212"/>
      <c r="V476" s="212"/>
      <c r="W476" s="212"/>
      <c r="X476" s="212"/>
      <c r="Y476" s="212"/>
      <c r="Z476" s="212"/>
      <c r="AA476" s="212"/>
      <c r="AB476" s="212"/>
      <c r="AC476" s="196"/>
      <c r="AD476" s="27"/>
      <c r="AE476" s="213"/>
      <c r="AF476" s="212">
        <f t="shared" si="73"/>
        <v>-1.0043279230487201E-7</v>
      </c>
      <c r="AG476" s="212"/>
      <c r="AH476" s="212"/>
      <c r="AI476" s="212"/>
      <c r="AJ476" s="212"/>
      <c r="AK476" s="212"/>
      <c r="AL476" s="212"/>
      <c r="AM476" s="212"/>
      <c r="AN476" s="212"/>
      <c r="AO476" s="212"/>
      <c r="AP476" s="196"/>
      <c r="AQ476" s="196"/>
      <c r="AR476" s="211"/>
      <c r="AS476" s="212">
        <f t="shared" si="65"/>
        <v>-2.5215273069534304E-9</v>
      </c>
      <c r="AT476" s="212">
        <f>[1]!LIM(AT475+Mode*r0*((1+IntegrationStep/2/Ti+Td/IntegrationStep)*AS476-(1-IntegrationStep/2/Ti+2*Td/IntegrationStep)*AS475+Td/IntegrationStep*AS474))</f>
        <v>0.40307868912334471</v>
      </c>
      <c r="AU476" s="212">
        <f t="shared" si="66"/>
        <v>40.794124671602574</v>
      </c>
      <c r="AW476" s="58"/>
      <c r="AX476" s="58"/>
      <c r="AY476" s="58"/>
      <c r="AZ476" s="58"/>
    </row>
    <row r="477" spans="1:52" s="185" customFormat="1" ht="15" customHeight="1" x14ac:dyDescent="0.25">
      <c r="A477" s="200"/>
      <c r="B477" s="211"/>
      <c r="C477" s="212">
        <f t="shared" si="67"/>
        <v>46.600000000000392</v>
      </c>
      <c r="D477" s="231">
        <f>15+[1]!STEPLOAD(5)</f>
        <v>20</v>
      </c>
      <c r="E477" s="212">
        <f t="shared" si="69"/>
        <v>40.794124913712025</v>
      </c>
      <c r="F477" s="212">
        <f t="shared" si="70"/>
        <v>0.5</v>
      </c>
      <c r="G477" s="212">
        <f>5</f>
        <v>5</v>
      </c>
      <c r="H477" s="212">
        <f t="shared" si="68"/>
        <v>48.369442764371414</v>
      </c>
      <c r="I477" s="212">
        <f t="shared" si="71"/>
        <v>0.9</v>
      </c>
      <c r="J477" s="212">
        <f>1</f>
        <v>1</v>
      </c>
      <c r="K477" s="212">
        <f t="shared" si="72"/>
        <v>4.1870000000000003</v>
      </c>
      <c r="L477" s="212"/>
      <c r="M477" s="212"/>
      <c r="N477" s="212"/>
      <c r="O477" s="212"/>
      <c r="P477" s="212"/>
      <c r="Q477" s="212"/>
      <c r="R477" s="212"/>
      <c r="S477" s="212"/>
      <c r="T477" s="212"/>
      <c r="U477" s="212"/>
      <c r="V477" s="212"/>
      <c r="W477" s="212"/>
      <c r="X477" s="212"/>
      <c r="Y477" s="212"/>
      <c r="Z477" s="212"/>
      <c r="AA477" s="212"/>
      <c r="AB477" s="212"/>
      <c r="AC477" s="196"/>
      <c r="AD477" s="27"/>
      <c r="AE477" s="213"/>
      <c r="AF477" s="212">
        <f t="shared" si="73"/>
        <v>-9.6437632990387101E-8</v>
      </c>
      <c r="AG477" s="212"/>
      <c r="AH477" s="212"/>
      <c r="AI477" s="212"/>
      <c r="AJ477" s="212"/>
      <c r="AK477" s="212"/>
      <c r="AL477" s="212"/>
      <c r="AM477" s="212"/>
      <c r="AN477" s="212"/>
      <c r="AO477" s="212"/>
      <c r="AP477" s="196"/>
      <c r="AQ477" s="196"/>
      <c r="AR477" s="211"/>
      <c r="AS477" s="212">
        <f t="shared" si="65"/>
        <v>-2.421094507099042E-9</v>
      </c>
      <c r="AT477" s="212">
        <f>[1]!LIM(AT476+Mode*r0*((1+IntegrationStep/2/Ti+Td/IntegrationStep)*AS477-(1-IntegrationStep/2/Ti+2*Td/IntegrationStep)*AS476+Td/IntegrationStep*AS475))</f>
        <v>0.40307868970309513</v>
      </c>
      <c r="AU477" s="212">
        <f t="shared" si="66"/>
        <v>40.794124671602574</v>
      </c>
      <c r="AW477" s="58"/>
      <c r="AX477" s="58"/>
      <c r="AY477" s="58"/>
      <c r="AZ477" s="58"/>
    </row>
    <row r="478" spans="1:52" s="185" customFormat="1" ht="15" customHeight="1" x14ac:dyDescent="0.25">
      <c r="A478" s="200"/>
      <c r="B478" s="211"/>
      <c r="C478" s="212">
        <f t="shared" si="67"/>
        <v>46.700000000000394</v>
      </c>
      <c r="D478" s="231">
        <f>15+[1]!STEPLOAD(5)</f>
        <v>20</v>
      </c>
      <c r="E478" s="212">
        <f t="shared" si="69"/>
        <v>40.794124904068262</v>
      </c>
      <c r="F478" s="212">
        <f t="shared" si="70"/>
        <v>0.5</v>
      </c>
      <c r="G478" s="212">
        <f>5</f>
        <v>5</v>
      </c>
      <c r="H478" s="212">
        <f t="shared" si="68"/>
        <v>48.369442831179747</v>
      </c>
      <c r="I478" s="212">
        <f t="shared" si="71"/>
        <v>0.9</v>
      </c>
      <c r="J478" s="212">
        <f>1</f>
        <v>1</v>
      </c>
      <c r="K478" s="212">
        <f t="shared" si="72"/>
        <v>4.1870000000000003</v>
      </c>
      <c r="L478" s="212"/>
      <c r="M478" s="212"/>
      <c r="N478" s="212"/>
      <c r="O478" s="212"/>
      <c r="P478" s="212"/>
      <c r="Q478" s="212"/>
      <c r="R478" s="212"/>
      <c r="S478" s="212"/>
      <c r="T478" s="212"/>
      <c r="U478" s="212"/>
      <c r="V478" s="212"/>
      <c r="W478" s="212"/>
      <c r="X478" s="212"/>
      <c r="Y478" s="212"/>
      <c r="Z478" s="212"/>
      <c r="AA478" s="212"/>
      <c r="AB478" s="212"/>
      <c r="AC478" s="196"/>
      <c r="AD478" s="27"/>
      <c r="AE478" s="213"/>
      <c r="AF478" s="212">
        <f t="shared" si="73"/>
        <v>-9.2601152967830558E-8</v>
      </c>
      <c r="AG478" s="212"/>
      <c r="AH478" s="212"/>
      <c r="AI478" s="212"/>
      <c r="AJ478" s="212"/>
      <c r="AK478" s="212"/>
      <c r="AL478" s="212"/>
      <c r="AM478" s="212"/>
      <c r="AN478" s="212"/>
      <c r="AO478" s="212"/>
      <c r="AP478" s="196"/>
      <c r="AQ478" s="196"/>
      <c r="AR478" s="211"/>
      <c r="AS478" s="212">
        <f t="shared" si="65"/>
        <v>-2.3246568758850117E-9</v>
      </c>
      <c r="AT478" s="212">
        <f>[1]!LIM(AT477+Mode*r0*((1+IntegrationStep/2/Ti+Td/IntegrationStep)*AS478-(1-IntegrationStep/2/Ti+2*Td/IntegrationStep)*AS477+Td/IntegrationStep*AS476))</f>
        <v>0.40307869025983123</v>
      </c>
      <c r="AU478" s="212">
        <f t="shared" si="66"/>
        <v>40.794124671602574</v>
      </c>
      <c r="AW478" s="58"/>
      <c r="AX478" s="58"/>
      <c r="AY478" s="58"/>
      <c r="AZ478" s="58"/>
    </row>
    <row r="479" spans="1:52" s="185" customFormat="1" ht="15" customHeight="1" x14ac:dyDescent="0.25">
      <c r="A479" s="200"/>
      <c r="B479" s="211"/>
      <c r="C479" s="212">
        <f t="shared" si="67"/>
        <v>46.800000000000395</v>
      </c>
      <c r="D479" s="231">
        <f>15+[1]!STEPLOAD(5)</f>
        <v>20</v>
      </c>
      <c r="E479" s="212">
        <f t="shared" si="69"/>
        <v>40.794124894808149</v>
      </c>
      <c r="F479" s="212">
        <f t="shared" si="70"/>
        <v>0.5</v>
      </c>
      <c r="G479" s="212">
        <f>5</f>
        <v>5</v>
      </c>
      <c r="H479" s="212">
        <f t="shared" si="68"/>
        <v>48.369442895335744</v>
      </c>
      <c r="I479" s="212">
        <f t="shared" si="71"/>
        <v>0.9</v>
      </c>
      <c r="J479" s="212">
        <f>1</f>
        <v>1</v>
      </c>
      <c r="K479" s="212">
        <f t="shared" si="72"/>
        <v>4.1870000000000003</v>
      </c>
      <c r="L479" s="212"/>
      <c r="M479" s="212"/>
      <c r="N479" s="212"/>
      <c r="O479" s="212"/>
      <c r="P479" s="212"/>
      <c r="Q479" s="212"/>
      <c r="R479" s="212"/>
      <c r="S479" s="212"/>
      <c r="T479" s="212"/>
      <c r="U479" s="212"/>
      <c r="V479" s="212"/>
      <c r="W479" s="212"/>
      <c r="X479" s="212"/>
      <c r="Y479" s="212"/>
      <c r="Z479" s="212"/>
      <c r="AA479" s="212"/>
      <c r="AB479" s="212"/>
      <c r="AC479" s="196"/>
      <c r="AD479" s="27"/>
      <c r="AE479" s="213"/>
      <c r="AF479" s="212">
        <f t="shared" si="73"/>
        <v>-8.8917062157634064E-8</v>
      </c>
      <c r="AG479" s="212"/>
      <c r="AH479" s="212"/>
      <c r="AI479" s="212"/>
      <c r="AJ479" s="212"/>
      <c r="AK479" s="212"/>
      <c r="AL479" s="212"/>
      <c r="AM479" s="212"/>
      <c r="AN479" s="212"/>
      <c r="AO479" s="212"/>
      <c r="AP479" s="196"/>
      <c r="AQ479" s="196"/>
      <c r="AR479" s="211"/>
      <c r="AS479" s="212">
        <f t="shared" si="65"/>
        <v>-2.2320557491184444E-9</v>
      </c>
      <c r="AT479" s="212">
        <f>[1]!LIM(AT478+Mode*r0*((1+IntegrationStep/2/Ti+Td/IntegrationStep)*AS479-(1-IntegrationStep/2/Ti+2*Td/IntegrationStep)*AS478+Td/IntegrationStep*AS477))</f>
        <v>0.40307869079446451</v>
      </c>
      <c r="AU479" s="212">
        <f t="shared" si="66"/>
        <v>40.794124671602574</v>
      </c>
      <c r="AW479" s="58"/>
      <c r="AX479" s="58"/>
      <c r="AY479" s="58"/>
      <c r="AZ479" s="58"/>
    </row>
    <row r="480" spans="1:52" s="185" customFormat="1" ht="15" customHeight="1" x14ac:dyDescent="0.25">
      <c r="A480" s="200"/>
      <c r="B480" s="211"/>
      <c r="C480" s="212">
        <f t="shared" si="67"/>
        <v>46.900000000000396</v>
      </c>
      <c r="D480" s="231">
        <f>15+[1]!STEPLOAD(5)</f>
        <v>20</v>
      </c>
      <c r="E480" s="212">
        <f t="shared" si="69"/>
        <v>40.794124885916446</v>
      </c>
      <c r="F480" s="212">
        <f t="shared" si="70"/>
        <v>0.5</v>
      </c>
      <c r="G480" s="212">
        <f>5</f>
        <v>5</v>
      </c>
      <c r="H480" s="212">
        <f t="shared" si="68"/>
        <v>48.369442956944525</v>
      </c>
      <c r="I480" s="212">
        <f t="shared" si="71"/>
        <v>0.9</v>
      </c>
      <c r="J480" s="212">
        <f>1</f>
        <v>1</v>
      </c>
      <c r="K480" s="212">
        <f t="shared" si="72"/>
        <v>4.1870000000000003</v>
      </c>
      <c r="L480" s="212"/>
      <c r="M480" s="212"/>
      <c r="N480" s="212"/>
      <c r="O480" s="212"/>
      <c r="P480" s="212"/>
      <c r="Q480" s="212"/>
      <c r="R480" s="212"/>
      <c r="S480" s="212"/>
      <c r="T480" s="212"/>
      <c r="U480" s="212"/>
      <c r="V480" s="212"/>
      <c r="W480" s="212"/>
      <c r="X480" s="212"/>
      <c r="Y480" s="212"/>
      <c r="Z480" s="212"/>
      <c r="AA480" s="212"/>
      <c r="AB480" s="212"/>
      <c r="AC480" s="196"/>
      <c r="AD480" s="27"/>
      <c r="AE480" s="213"/>
      <c r="AF480" s="212">
        <f t="shared" si="73"/>
        <v>-8.5379317393829979E-8</v>
      </c>
      <c r="AG480" s="212"/>
      <c r="AH480" s="212"/>
      <c r="AI480" s="212"/>
      <c r="AJ480" s="212"/>
      <c r="AK480" s="212"/>
      <c r="AL480" s="212"/>
      <c r="AM480" s="212"/>
      <c r="AN480" s="212"/>
      <c r="AO480" s="212"/>
      <c r="AP480" s="196"/>
      <c r="AQ480" s="196"/>
      <c r="AR480" s="211"/>
      <c r="AS480" s="212">
        <f t="shared" si="65"/>
        <v>-2.14313871538252E-9</v>
      </c>
      <c r="AT480" s="212">
        <f>[1]!LIM(AT479+Mode*r0*((1+IntegrationStep/2/Ti+Td/IntegrationStep)*AS480-(1-IntegrationStep/2/Ti+2*Td/IntegrationStep)*AS479+Td/IntegrationStep*AS478))</f>
        <v>0.40307869130787105</v>
      </c>
      <c r="AU480" s="212">
        <f t="shared" si="66"/>
        <v>40.794124671602574</v>
      </c>
      <c r="AW480" s="58"/>
      <c r="AX480" s="58"/>
      <c r="AY480" s="58"/>
      <c r="AZ480" s="58"/>
    </row>
    <row r="481" spans="1:52" s="185" customFormat="1" ht="15" customHeight="1" x14ac:dyDescent="0.25">
      <c r="A481" s="200"/>
      <c r="B481" s="211"/>
      <c r="C481" s="212">
        <f t="shared" si="67"/>
        <v>47.000000000000398</v>
      </c>
      <c r="D481" s="231">
        <f>15+[1]!STEPLOAD(5)</f>
        <v>20</v>
      </c>
      <c r="E481" s="212">
        <f t="shared" si="69"/>
        <v>40.794124877378515</v>
      </c>
      <c r="F481" s="212">
        <f t="shared" si="70"/>
        <v>0.5</v>
      </c>
      <c r="G481" s="212">
        <f>5</f>
        <v>5</v>
      </c>
      <c r="H481" s="212">
        <f t="shared" si="68"/>
        <v>48.369443016107084</v>
      </c>
      <c r="I481" s="212">
        <f t="shared" si="71"/>
        <v>0.9</v>
      </c>
      <c r="J481" s="212">
        <f>1</f>
        <v>1</v>
      </c>
      <c r="K481" s="212">
        <f t="shared" si="72"/>
        <v>4.1870000000000003</v>
      </c>
      <c r="L481" s="212"/>
      <c r="M481" s="212"/>
      <c r="N481" s="212"/>
      <c r="O481" s="212"/>
      <c r="P481" s="212"/>
      <c r="Q481" s="212"/>
      <c r="R481" s="212"/>
      <c r="S481" s="212"/>
      <c r="T481" s="212"/>
      <c r="U481" s="212"/>
      <c r="V481" s="212"/>
      <c r="W481" s="212"/>
      <c r="X481" s="212"/>
      <c r="Y481" s="212"/>
      <c r="Z481" s="212"/>
      <c r="AA481" s="212"/>
      <c r="AB481" s="212"/>
      <c r="AC481" s="196"/>
      <c r="AD481" s="27"/>
      <c r="AE481" s="213"/>
      <c r="AF481" s="212">
        <f t="shared" si="73"/>
        <v>-8.1982113542267143E-8</v>
      </c>
      <c r="AG481" s="212"/>
      <c r="AH481" s="212"/>
      <c r="AI481" s="212"/>
      <c r="AJ481" s="212"/>
      <c r="AK481" s="212"/>
      <c r="AL481" s="212"/>
      <c r="AM481" s="212"/>
      <c r="AN481" s="212"/>
      <c r="AO481" s="212"/>
      <c r="AP481" s="196"/>
      <c r="AQ481" s="196"/>
      <c r="AR481" s="211"/>
      <c r="AS481" s="212">
        <f t="shared" si="65"/>
        <v>-2.0577594028736713E-9</v>
      </c>
      <c r="AT481" s="212">
        <f>[1]!LIM(AT480+Mode*r0*((1+IntegrationStep/2/Ti+Td/IntegrationStep)*AS481-(1-IntegrationStep/2/Ti+2*Td/IntegrationStep)*AS480+Td/IntegrationStep*AS479))</f>
        <v>0.40307869180089234</v>
      </c>
      <c r="AU481" s="212">
        <f t="shared" si="66"/>
        <v>40.794124671602574</v>
      </c>
      <c r="AW481" s="58"/>
      <c r="AX481" s="58"/>
      <c r="AY481" s="58"/>
      <c r="AZ481" s="58"/>
    </row>
    <row r="482" spans="1:52" s="185" customFormat="1" ht="15" customHeight="1" x14ac:dyDescent="0.25">
      <c r="A482" s="200"/>
      <c r="B482" s="211"/>
      <c r="C482" s="212">
        <f t="shared" si="67"/>
        <v>47.100000000000399</v>
      </c>
      <c r="D482" s="231">
        <f>15+[1]!STEPLOAD(5)</f>
        <v>20</v>
      </c>
      <c r="E482" s="212">
        <f t="shared" si="69"/>
        <v>40.794124869180301</v>
      </c>
      <c r="F482" s="212">
        <f t="shared" si="70"/>
        <v>0.5</v>
      </c>
      <c r="G482" s="212">
        <f>5</f>
        <v>5</v>
      </c>
      <c r="H482" s="212">
        <f t="shared" si="68"/>
        <v>48.369443072920355</v>
      </c>
      <c r="I482" s="212">
        <f t="shared" si="71"/>
        <v>0.9</v>
      </c>
      <c r="J482" s="212">
        <f>1</f>
        <v>1</v>
      </c>
      <c r="K482" s="212">
        <f t="shared" si="72"/>
        <v>4.1870000000000003</v>
      </c>
      <c r="L482" s="212"/>
      <c r="M482" s="212"/>
      <c r="N482" s="212"/>
      <c r="O482" s="212"/>
      <c r="P482" s="212"/>
      <c r="Q482" s="212"/>
      <c r="R482" s="212"/>
      <c r="S482" s="212"/>
      <c r="T482" s="212"/>
      <c r="U482" s="212"/>
      <c r="V482" s="212"/>
      <c r="W482" s="212"/>
      <c r="X482" s="212"/>
      <c r="Y482" s="212"/>
      <c r="Z482" s="212"/>
      <c r="AA482" s="212"/>
      <c r="AB482" s="212"/>
      <c r="AC482" s="196"/>
      <c r="AD482" s="27"/>
      <c r="AE482" s="213"/>
      <c r="AF482" s="212">
        <f t="shared" si="73"/>
        <v>-7.8719878171540358E-8</v>
      </c>
      <c r="AG482" s="212"/>
      <c r="AH482" s="212"/>
      <c r="AI482" s="212"/>
      <c r="AJ482" s="212"/>
      <c r="AK482" s="212"/>
      <c r="AL482" s="212"/>
      <c r="AM482" s="212"/>
      <c r="AN482" s="212"/>
      <c r="AO482" s="212"/>
      <c r="AP482" s="196"/>
      <c r="AQ482" s="196"/>
      <c r="AR482" s="211"/>
      <c r="AS482" s="212">
        <f t="shared" si="65"/>
        <v>-1.9757772662387651E-9</v>
      </c>
      <c r="AT482" s="212">
        <f>[1]!LIM(AT481+Mode*r0*((1+IntegrationStep/2/Ti+Td/IntegrationStep)*AS482-(1-IntegrationStep/2/Ti+2*Td/IntegrationStep)*AS481+Td/IntegrationStep*AS480))</f>
        <v>0.40307869227433629</v>
      </c>
      <c r="AU482" s="212">
        <f t="shared" si="66"/>
        <v>40.794124671602574</v>
      </c>
      <c r="AW482" s="58"/>
      <c r="AX482" s="58"/>
      <c r="AY482" s="58"/>
      <c r="AZ482" s="58"/>
    </row>
    <row r="483" spans="1:52" s="185" customFormat="1" ht="15" customHeight="1" x14ac:dyDescent="0.25">
      <c r="A483" s="200"/>
      <c r="B483" s="211"/>
      <c r="C483" s="212">
        <f t="shared" si="67"/>
        <v>47.200000000000401</v>
      </c>
      <c r="D483" s="231">
        <f>15+[1]!STEPLOAD(5)</f>
        <v>20</v>
      </c>
      <c r="E483" s="212">
        <f t="shared" si="69"/>
        <v>40.794124861308312</v>
      </c>
      <c r="F483" s="212">
        <f t="shared" si="70"/>
        <v>0.5</v>
      </c>
      <c r="G483" s="212">
        <f>5</f>
        <v>5</v>
      </c>
      <c r="H483" s="212">
        <f t="shared" si="68"/>
        <v>48.369443127477382</v>
      </c>
      <c r="I483" s="212">
        <f t="shared" si="71"/>
        <v>0.9</v>
      </c>
      <c r="J483" s="212">
        <f>1</f>
        <v>1</v>
      </c>
      <c r="K483" s="212">
        <f t="shared" si="72"/>
        <v>4.1870000000000003</v>
      </c>
      <c r="L483" s="212"/>
      <c r="M483" s="212"/>
      <c r="N483" s="212"/>
      <c r="O483" s="212"/>
      <c r="P483" s="212"/>
      <c r="Q483" s="212"/>
      <c r="R483" s="212"/>
      <c r="S483" s="212"/>
      <c r="T483" s="212"/>
      <c r="U483" s="212"/>
      <c r="V483" s="212"/>
      <c r="W483" s="212"/>
      <c r="X483" s="212"/>
      <c r="Y483" s="212"/>
      <c r="Z483" s="212"/>
      <c r="AA483" s="212"/>
      <c r="AB483" s="212"/>
      <c r="AC483" s="196"/>
      <c r="AD483" s="27"/>
      <c r="AE483" s="213"/>
      <c r="AF483" s="212">
        <f t="shared" si="73"/>
        <v>-7.5587261338938561E-8</v>
      </c>
      <c r="AG483" s="212"/>
      <c r="AH483" s="212"/>
      <c r="AI483" s="212"/>
      <c r="AJ483" s="212"/>
      <c r="AK483" s="212"/>
      <c r="AL483" s="212"/>
      <c r="AM483" s="212"/>
      <c r="AN483" s="212"/>
      <c r="AO483" s="212"/>
      <c r="AP483" s="196"/>
      <c r="AQ483" s="196"/>
      <c r="AR483" s="211"/>
      <c r="AS483" s="212">
        <f t="shared" si="65"/>
        <v>-1.897057373412281E-9</v>
      </c>
      <c r="AT483" s="212">
        <f>[1]!LIM(AT482+Mode*r0*((1+IntegrationStep/2/Ti+Td/IntegrationStep)*AS483-(1-IntegrationStep/2/Ti+2*Td/IntegrationStep)*AS482+Td/IntegrationStep*AS481))</f>
        <v>0.40307869272897817</v>
      </c>
      <c r="AU483" s="212">
        <f t="shared" si="66"/>
        <v>40.794124671602574</v>
      </c>
      <c r="AW483" s="58"/>
      <c r="AX483" s="58"/>
      <c r="AY483" s="58"/>
      <c r="AZ483" s="58"/>
    </row>
    <row r="484" spans="1:52" s="185" customFormat="1" ht="15" customHeight="1" x14ac:dyDescent="0.25">
      <c r="A484" s="200"/>
      <c r="B484" s="211"/>
      <c r="C484" s="212">
        <f t="shared" si="67"/>
        <v>47.300000000000402</v>
      </c>
      <c r="D484" s="231">
        <f>15+[1]!STEPLOAD(5)</f>
        <v>20</v>
      </c>
      <c r="E484" s="212">
        <f t="shared" si="69"/>
        <v>40.794124853749587</v>
      </c>
      <c r="F484" s="212">
        <f t="shared" si="70"/>
        <v>0.5</v>
      </c>
      <c r="G484" s="212">
        <f>5</f>
        <v>5</v>
      </c>
      <c r="H484" s="212">
        <f t="shared" si="68"/>
        <v>48.369443179867567</v>
      </c>
      <c r="I484" s="212">
        <f t="shared" si="71"/>
        <v>0.9</v>
      </c>
      <c r="J484" s="212">
        <f>1</f>
        <v>1</v>
      </c>
      <c r="K484" s="212">
        <f t="shared" si="72"/>
        <v>4.1870000000000003</v>
      </c>
      <c r="L484" s="212"/>
      <c r="M484" s="212"/>
      <c r="N484" s="212"/>
      <c r="O484" s="212"/>
      <c r="P484" s="212"/>
      <c r="Q484" s="212"/>
      <c r="R484" s="212"/>
      <c r="S484" s="212"/>
      <c r="T484" s="212"/>
      <c r="U484" s="212"/>
      <c r="V484" s="212"/>
      <c r="W484" s="212"/>
      <c r="X484" s="212"/>
      <c r="Y484" s="212"/>
      <c r="Z484" s="212"/>
      <c r="AA484" s="212"/>
      <c r="AB484" s="212"/>
      <c r="AC484" s="196"/>
      <c r="AD484" s="27"/>
      <c r="AE484" s="213"/>
      <c r="AF484" s="212">
        <f t="shared" si="73"/>
        <v>-7.2579124044125365E-8</v>
      </c>
      <c r="AG484" s="212"/>
      <c r="AH484" s="212"/>
      <c r="AI484" s="212"/>
      <c r="AJ484" s="212"/>
      <c r="AK484" s="212"/>
      <c r="AL484" s="212"/>
      <c r="AM484" s="212"/>
      <c r="AN484" s="212"/>
      <c r="AO484" s="212"/>
      <c r="AP484" s="196"/>
      <c r="AQ484" s="196"/>
      <c r="AR484" s="211"/>
      <c r="AS484" s="212">
        <f t="shared" si="65"/>
        <v>-1.8214701213992157E-9</v>
      </c>
      <c r="AT484" s="212">
        <f>[1]!LIM(AT483+Mode*r0*((1+IntegrationStep/2/Ti+Td/IntegrationStep)*AS484-(1-IntegrationStep/2/Ti+2*Td/IntegrationStep)*AS483+Td/IntegrationStep*AS482))</f>
        <v>0.40307869316556305</v>
      </c>
      <c r="AU484" s="212">
        <f t="shared" si="66"/>
        <v>40.794124671602574</v>
      </c>
      <c r="AW484" s="58"/>
      <c r="AX484" s="58"/>
      <c r="AY484" s="58"/>
      <c r="AZ484" s="58"/>
    </row>
    <row r="485" spans="1:52" s="185" customFormat="1" ht="15" customHeight="1" x14ac:dyDescent="0.25">
      <c r="A485" s="200"/>
      <c r="B485" s="211"/>
      <c r="C485" s="212">
        <f t="shared" si="67"/>
        <v>47.400000000000404</v>
      </c>
      <c r="D485" s="231">
        <f>15+[1]!STEPLOAD(5)</f>
        <v>20</v>
      </c>
      <c r="E485" s="212">
        <f t="shared" si="69"/>
        <v>40.794124846491677</v>
      </c>
      <c r="F485" s="212">
        <f t="shared" si="70"/>
        <v>0.5</v>
      </c>
      <c r="G485" s="212">
        <f>5</f>
        <v>5</v>
      </c>
      <c r="H485" s="212">
        <f t="shared" si="68"/>
        <v>48.369443230176813</v>
      </c>
      <c r="I485" s="212">
        <f t="shared" si="71"/>
        <v>0.9</v>
      </c>
      <c r="J485" s="212">
        <f>1</f>
        <v>1</v>
      </c>
      <c r="K485" s="212">
        <f t="shared" si="72"/>
        <v>4.1870000000000003</v>
      </c>
      <c r="L485" s="212"/>
      <c r="M485" s="212"/>
      <c r="N485" s="212"/>
      <c r="O485" s="212"/>
      <c r="P485" s="212"/>
      <c r="Q485" s="212"/>
      <c r="R485" s="212"/>
      <c r="S485" s="212"/>
      <c r="T485" s="212"/>
      <c r="U485" s="212"/>
      <c r="V485" s="212"/>
      <c r="W485" s="212"/>
      <c r="X485" s="212"/>
      <c r="Y485" s="212"/>
      <c r="Z485" s="212"/>
      <c r="AA485" s="212"/>
      <c r="AB485" s="212"/>
      <c r="AC485" s="196"/>
      <c r="AD485" s="27"/>
      <c r="AE485" s="213"/>
      <c r="AF485" s="212">
        <f t="shared" si="73"/>
        <v>-6.9690528015087239E-8</v>
      </c>
      <c r="AG485" s="212"/>
      <c r="AH485" s="212"/>
      <c r="AI485" s="212"/>
      <c r="AJ485" s="212"/>
      <c r="AK485" s="212"/>
      <c r="AL485" s="212"/>
      <c r="AM485" s="212"/>
      <c r="AN485" s="212"/>
      <c r="AO485" s="212"/>
      <c r="AP485" s="196"/>
      <c r="AQ485" s="196"/>
      <c r="AR485" s="211"/>
      <c r="AS485" s="212">
        <f t="shared" si="65"/>
        <v>-1.7488910231122645E-9</v>
      </c>
      <c r="AT485" s="212">
        <f>[1]!LIM(AT484+Mode*r0*((1+IntegrationStep/2/Ti+Td/IntegrationStep)*AS485-(1-IntegrationStep/2/Ti+2*Td/IntegrationStep)*AS484+Td/IntegrationStep*AS483))</f>
        <v>0.4030786935848068</v>
      </c>
      <c r="AU485" s="212">
        <f t="shared" si="66"/>
        <v>40.794124671602574</v>
      </c>
      <c r="AW485" s="58"/>
      <c r="AX485" s="58"/>
      <c r="AY485" s="58"/>
      <c r="AZ485" s="58"/>
    </row>
    <row r="486" spans="1:52" s="185" customFormat="1" ht="15" customHeight="1" x14ac:dyDescent="0.25">
      <c r="A486" s="200"/>
      <c r="B486" s="211"/>
      <c r="C486" s="212">
        <f t="shared" si="67"/>
        <v>47.500000000000405</v>
      </c>
      <c r="D486" s="231">
        <f>15+[1]!STEPLOAD(5)</f>
        <v>20</v>
      </c>
      <c r="E486" s="212">
        <f t="shared" si="69"/>
        <v>40.794124839522624</v>
      </c>
      <c r="F486" s="212">
        <f t="shared" si="70"/>
        <v>0.5</v>
      </c>
      <c r="G486" s="212">
        <f>5</f>
        <v>5</v>
      </c>
      <c r="H486" s="212">
        <f t="shared" si="68"/>
        <v>48.369443278487708</v>
      </c>
      <c r="I486" s="212">
        <f t="shared" si="71"/>
        <v>0.9</v>
      </c>
      <c r="J486" s="212">
        <f>1</f>
        <v>1</v>
      </c>
      <c r="K486" s="212">
        <f t="shared" si="72"/>
        <v>4.1870000000000003</v>
      </c>
      <c r="L486" s="212"/>
      <c r="M486" s="212"/>
      <c r="N486" s="212"/>
      <c r="O486" s="212"/>
      <c r="P486" s="212"/>
      <c r="Q486" s="212"/>
      <c r="R486" s="212"/>
      <c r="S486" s="212"/>
      <c r="T486" s="212"/>
      <c r="U486" s="212"/>
      <c r="V486" s="212"/>
      <c r="W486" s="212"/>
      <c r="X486" s="212"/>
      <c r="Y486" s="212"/>
      <c r="Z486" s="212"/>
      <c r="AA486" s="212"/>
      <c r="AB486" s="212"/>
      <c r="AC486" s="196"/>
      <c r="AD486" s="27"/>
      <c r="AE486" s="213"/>
      <c r="AF486" s="212">
        <f t="shared" si="73"/>
        <v>-6.6916726826349304E-8</v>
      </c>
      <c r="AG486" s="212"/>
      <c r="AH486" s="212"/>
      <c r="AI486" s="212"/>
      <c r="AJ486" s="212"/>
      <c r="AK486" s="212"/>
      <c r="AL486" s="212"/>
      <c r="AM486" s="212"/>
      <c r="AN486" s="212"/>
      <c r="AO486" s="212"/>
      <c r="AP486" s="196"/>
      <c r="AQ486" s="196"/>
      <c r="AR486" s="211"/>
      <c r="AS486" s="212">
        <f t="shared" si="65"/>
        <v>-1.6792004942089988E-9</v>
      </c>
      <c r="AT486" s="212">
        <f>[1]!LIM(AT485+Mode*r0*((1+IntegrationStep/2/Ti+Td/IntegrationStep)*AS486-(1-IntegrationStep/2/Ti+2*Td/IntegrationStep)*AS485+Td/IntegrationStep*AS484))</f>
        <v>0.4030786939873976</v>
      </c>
      <c r="AU486" s="212">
        <f t="shared" si="66"/>
        <v>40.794124671602574</v>
      </c>
      <c r="AW486" s="58"/>
      <c r="AX486" s="58"/>
      <c r="AY486" s="58"/>
      <c r="AZ486" s="58"/>
    </row>
    <row r="487" spans="1:52" s="185" customFormat="1" ht="15" customHeight="1" x14ac:dyDescent="0.25">
      <c r="A487" s="200"/>
      <c r="B487" s="211"/>
      <c r="C487" s="212">
        <f t="shared" si="67"/>
        <v>47.600000000000406</v>
      </c>
      <c r="D487" s="231">
        <f>15+[1]!STEPLOAD(5)</f>
        <v>20</v>
      </c>
      <c r="E487" s="212">
        <f t="shared" si="69"/>
        <v>40.794124832830953</v>
      </c>
      <c r="F487" s="212">
        <f t="shared" si="70"/>
        <v>0.5</v>
      </c>
      <c r="G487" s="212">
        <f>5</f>
        <v>5</v>
      </c>
      <c r="H487" s="212">
        <f t="shared" si="68"/>
        <v>48.369443324879398</v>
      </c>
      <c r="I487" s="212">
        <f t="shared" si="71"/>
        <v>0.9</v>
      </c>
      <c r="J487" s="212">
        <f>1</f>
        <v>1</v>
      </c>
      <c r="K487" s="212">
        <f t="shared" si="72"/>
        <v>4.1870000000000003</v>
      </c>
      <c r="L487" s="212"/>
      <c r="M487" s="212"/>
      <c r="N487" s="212"/>
      <c r="O487" s="212"/>
      <c r="P487" s="212"/>
      <c r="Q487" s="212"/>
      <c r="R487" s="212"/>
      <c r="S487" s="212"/>
      <c r="T487" s="212"/>
      <c r="U487" s="212"/>
      <c r="V487" s="212"/>
      <c r="W487" s="212"/>
      <c r="X487" s="212"/>
      <c r="Y487" s="212"/>
      <c r="Z487" s="212"/>
      <c r="AA487" s="212"/>
      <c r="AB487" s="212"/>
      <c r="AC487" s="196"/>
      <c r="AD487" s="27"/>
      <c r="AE487" s="213"/>
      <c r="AF487" s="212">
        <f t="shared" si="73"/>
        <v>-6.4253171228045858E-8</v>
      </c>
      <c r="AG487" s="212"/>
      <c r="AH487" s="212"/>
      <c r="AI487" s="212"/>
      <c r="AJ487" s="212"/>
      <c r="AK487" s="212"/>
      <c r="AL487" s="212"/>
      <c r="AM487" s="212"/>
      <c r="AN487" s="212"/>
      <c r="AO487" s="212"/>
      <c r="AP487" s="196"/>
      <c r="AQ487" s="196"/>
      <c r="AR487" s="211"/>
      <c r="AS487" s="212">
        <f t="shared" si="65"/>
        <v>-1.6122837820375934E-9</v>
      </c>
      <c r="AT487" s="212">
        <f>[1]!LIM(AT486+Mode*r0*((1+IntegrationStep/2/Ti+Td/IntegrationStep)*AS487-(1-IntegrationStep/2/Ti+2*Td/IntegrationStep)*AS486+Td/IntegrationStep*AS485))</f>
        <v>0.40307869437399496</v>
      </c>
      <c r="AU487" s="212">
        <f t="shared" si="66"/>
        <v>40.794124671602574</v>
      </c>
      <c r="AW487" s="58"/>
      <c r="AX487" s="58"/>
      <c r="AY487" s="58"/>
      <c r="AZ487" s="58"/>
    </row>
    <row r="488" spans="1:52" s="185" customFormat="1" ht="15" customHeight="1" x14ac:dyDescent="0.25">
      <c r="A488" s="200"/>
      <c r="B488" s="211"/>
      <c r="C488" s="212">
        <f t="shared" si="67"/>
        <v>47.700000000000408</v>
      </c>
      <c r="D488" s="231">
        <f>15+[1]!STEPLOAD(5)</f>
        <v>20</v>
      </c>
      <c r="E488" s="212">
        <f t="shared" si="69"/>
        <v>40.794124826405636</v>
      </c>
      <c r="F488" s="212">
        <f t="shared" si="70"/>
        <v>0.5</v>
      </c>
      <c r="G488" s="212">
        <f>5</f>
        <v>5</v>
      </c>
      <c r="H488" s="212">
        <f t="shared" si="68"/>
        <v>48.369443369428033</v>
      </c>
      <c r="I488" s="212">
        <f t="shared" si="71"/>
        <v>0.9</v>
      </c>
      <c r="J488" s="212">
        <f>1</f>
        <v>1</v>
      </c>
      <c r="K488" s="212">
        <f t="shared" si="72"/>
        <v>4.1870000000000003</v>
      </c>
      <c r="L488" s="212"/>
      <c r="M488" s="212"/>
      <c r="N488" s="212"/>
      <c r="O488" s="212"/>
      <c r="P488" s="212"/>
      <c r="Q488" s="212"/>
      <c r="R488" s="212"/>
      <c r="S488" s="212"/>
      <c r="T488" s="212"/>
      <c r="U488" s="212"/>
      <c r="V488" s="212"/>
      <c r="W488" s="212"/>
      <c r="X488" s="212"/>
      <c r="Y488" s="212"/>
      <c r="Z488" s="212"/>
      <c r="AA488" s="212"/>
      <c r="AB488" s="212"/>
      <c r="AC488" s="196"/>
      <c r="AD488" s="27"/>
      <c r="AE488" s="213"/>
      <c r="AF488" s="212">
        <f t="shared" si="73"/>
        <v>-6.1695484721013827E-8</v>
      </c>
      <c r="AG488" s="212"/>
      <c r="AH488" s="212"/>
      <c r="AI488" s="212"/>
      <c r="AJ488" s="212"/>
      <c r="AK488" s="212"/>
      <c r="AL488" s="212"/>
      <c r="AM488" s="212"/>
      <c r="AN488" s="212"/>
      <c r="AO488" s="212"/>
      <c r="AP488" s="196"/>
      <c r="AQ488" s="196"/>
      <c r="AR488" s="211"/>
      <c r="AS488" s="212">
        <f t="shared" si="65"/>
        <v>-1.5480306103654584E-9</v>
      </c>
      <c r="AT488" s="212">
        <f>[1]!LIM(AT487+Mode*r0*((1+IntegrationStep/2/Ti+Td/IntegrationStep)*AS488-(1-IntegrationStep/2/Ti+2*Td/IntegrationStep)*AS487+Td/IntegrationStep*AS486))</f>
        <v>0.40307869474523361</v>
      </c>
      <c r="AU488" s="212">
        <f t="shared" si="66"/>
        <v>40.794124671602574</v>
      </c>
      <c r="AW488" s="58"/>
      <c r="AX488" s="58"/>
      <c r="AY488" s="58"/>
      <c r="AZ488" s="58"/>
    </row>
    <row r="489" spans="1:52" s="185" customFormat="1" ht="15" customHeight="1" x14ac:dyDescent="0.25">
      <c r="A489" s="200"/>
      <c r="B489" s="211"/>
      <c r="C489" s="212">
        <f t="shared" si="67"/>
        <v>47.800000000000409</v>
      </c>
      <c r="D489" s="231">
        <f>15+[1]!STEPLOAD(5)</f>
        <v>20</v>
      </c>
      <c r="E489" s="212">
        <f t="shared" si="69"/>
        <v>40.794124820236085</v>
      </c>
      <c r="F489" s="212">
        <f t="shared" si="70"/>
        <v>0.5</v>
      </c>
      <c r="G489" s="212">
        <f>5</f>
        <v>5</v>
      </c>
      <c r="H489" s="212">
        <f t="shared" si="68"/>
        <v>48.369443412206707</v>
      </c>
      <c r="I489" s="212">
        <f t="shared" si="71"/>
        <v>0.9</v>
      </c>
      <c r="J489" s="212">
        <f>1</f>
        <v>1</v>
      </c>
      <c r="K489" s="212">
        <f t="shared" si="72"/>
        <v>4.1870000000000003</v>
      </c>
      <c r="L489" s="212"/>
      <c r="M489" s="212"/>
      <c r="N489" s="212"/>
      <c r="O489" s="212"/>
      <c r="P489" s="212"/>
      <c r="Q489" s="212"/>
      <c r="R489" s="212"/>
      <c r="S489" s="212"/>
      <c r="T489" s="212"/>
      <c r="U489" s="212"/>
      <c r="V489" s="212"/>
      <c r="W489" s="212"/>
      <c r="X489" s="212"/>
      <c r="Y489" s="212"/>
      <c r="Z489" s="212"/>
      <c r="AA489" s="212"/>
      <c r="AB489" s="212"/>
      <c r="AC489" s="196"/>
      <c r="AD489" s="27"/>
      <c r="AE489" s="213"/>
      <c r="AF489" s="212">
        <f t="shared" si="73"/>
        <v>-5.923946577723882E-8</v>
      </c>
      <c r="AG489" s="212"/>
      <c r="AH489" s="212"/>
      <c r="AI489" s="212"/>
      <c r="AJ489" s="212"/>
      <c r="AK489" s="212"/>
      <c r="AL489" s="212"/>
      <c r="AM489" s="212"/>
      <c r="AN489" s="212"/>
      <c r="AO489" s="212"/>
      <c r="AP489" s="196"/>
      <c r="AQ489" s="196"/>
      <c r="AR489" s="211"/>
      <c r="AS489" s="212">
        <f t="shared" si="65"/>
        <v>-1.4863351083249655E-9</v>
      </c>
      <c r="AT489" s="212">
        <f>[1]!LIM(AT488+Mode*r0*((1+IntegrationStep/2/Ti+Td/IntegrationStep)*AS489-(1-IntegrationStep/2/Ti+2*Td/IntegrationStep)*AS488+Td/IntegrationStep*AS487))</f>
        <v>0.40307869510172256</v>
      </c>
      <c r="AU489" s="212">
        <f t="shared" si="66"/>
        <v>40.794124671602574</v>
      </c>
      <c r="AW489" s="58"/>
      <c r="AX489" s="58"/>
      <c r="AY489" s="58"/>
      <c r="AZ489" s="58"/>
    </row>
    <row r="490" spans="1:52" s="185" customFormat="1" ht="15" customHeight="1" x14ac:dyDescent="0.25">
      <c r="A490" s="200"/>
      <c r="B490" s="211"/>
      <c r="C490" s="212">
        <f t="shared" si="67"/>
        <v>47.900000000000411</v>
      </c>
      <c r="D490" s="231">
        <f>15+[1]!STEPLOAD(5)</f>
        <v>20</v>
      </c>
      <c r="E490" s="212">
        <f t="shared" si="69"/>
        <v>40.794124814312141</v>
      </c>
      <c r="F490" s="212">
        <f t="shared" si="70"/>
        <v>0.5</v>
      </c>
      <c r="G490" s="212">
        <f>5</f>
        <v>5</v>
      </c>
      <c r="H490" s="212">
        <f t="shared" si="68"/>
        <v>48.369443453285506</v>
      </c>
      <c r="I490" s="212">
        <f t="shared" si="71"/>
        <v>0.9</v>
      </c>
      <c r="J490" s="212">
        <f>1</f>
        <v>1</v>
      </c>
      <c r="K490" s="212">
        <f t="shared" si="72"/>
        <v>4.1870000000000003</v>
      </c>
      <c r="L490" s="212"/>
      <c r="M490" s="212"/>
      <c r="N490" s="212"/>
      <c r="O490" s="212"/>
      <c r="P490" s="212"/>
      <c r="Q490" s="212"/>
      <c r="R490" s="212"/>
      <c r="S490" s="212"/>
      <c r="T490" s="212"/>
      <c r="U490" s="212"/>
      <c r="V490" s="212"/>
      <c r="W490" s="212"/>
      <c r="X490" s="212"/>
      <c r="Y490" s="212"/>
      <c r="Z490" s="212"/>
      <c r="AA490" s="212"/>
      <c r="AB490" s="212"/>
      <c r="AC490" s="196"/>
      <c r="AD490" s="27"/>
      <c r="AE490" s="213"/>
      <c r="AF490" s="212">
        <f t="shared" si="73"/>
        <v>-5.6881084731230658E-8</v>
      </c>
      <c r="AG490" s="212"/>
      <c r="AH490" s="212"/>
      <c r="AI490" s="212"/>
      <c r="AJ490" s="212"/>
      <c r="AK490" s="212"/>
      <c r="AL490" s="212"/>
      <c r="AM490" s="212"/>
      <c r="AN490" s="212"/>
      <c r="AO490" s="212"/>
      <c r="AP490" s="196"/>
      <c r="AQ490" s="196"/>
      <c r="AR490" s="211"/>
      <c r="AS490" s="212">
        <f t="shared" si="65"/>
        <v>-1.4270956683049007E-9</v>
      </c>
      <c r="AT490" s="212">
        <f>[1]!LIM(AT489+Mode*r0*((1+IntegrationStep/2/Ti+Td/IntegrationStep)*AS490-(1-IntegrationStep/2/Ti+2*Td/IntegrationStep)*AS489+Td/IntegrationStep*AS488))</f>
        <v>0.4030786954440459</v>
      </c>
      <c r="AU490" s="212">
        <f t="shared" si="66"/>
        <v>40.794124671602574</v>
      </c>
      <c r="AW490" s="58"/>
      <c r="AX490" s="58"/>
      <c r="AY490" s="58"/>
      <c r="AZ490" s="58"/>
    </row>
    <row r="491" spans="1:52" s="185" customFormat="1" ht="15" customHeight="1" x14ac:dyDescent="0.25">
      <c r="A491" s="200"/>
      <c r="B491" s="211"/>
      <c r="C491" s="212">
        <f t="shared" si="67"/>
        <v>48.000000000000412</v>
      </c>
      <c r="D491" s="231">
        <f>15+[1]!STEPLOAD(5)</f>
        <v>20</v>
      </c>
      <c r="E491" s="212">
        <f t="shared" si="69"/>
        <v>40.794124808624034</v>
      </c>
      <c r="F491" s="212">
        <f t="shared" si="70"/>
        <v>0.5</v>
      </c>
      <c r="G491" s="212">
        <f>5</f>
        <v>5</v>
      </c>
      <c r="H491" s="212">
        <f t="shared" si="68"/>
        <v>48.369443492731968</v>
      </c>
      <c r="I491" s="212">
        <f t="shared" si="71"/>
        <v>0.9</v>
      </c>
      <c r="J491" s="212">
        <f>1</f>
        <v>1</v>
      </c>
      <c r="K491" s="212">
        <f t="shared" si="72"/>
        <v>4.1870000000000003</v>
      </c>
      <c r="L491" s="212"/>
      <c r="M491" s="212"/>
      <c r="N491" s="212"/>
      <c r="O491" s="212"/>
      <c r="P491" s="212"/>
      <c r="Q491" s="212"/>
      <c r="R491" s="212"/>
      <c r="S491" s="212"/>
      <c r="T491" s="212"/>
      <c r="U491" s="212"/>
      <c r="V491" s="212"/>
      <c r="W491" s="212"/>
      <c r="X491" s="212"/>
      <c r="Y491" s="212"/>
      <c r="Z491" s="212"/>
      <c r="AA491" s="212"/>
      <c r="AB491" s="212"/>
      <c r="AC491" s="196"/>
      <c r="AD491" s="27"/>
      <c r="AE491" s="213"/>
      <c r="AF491" s="212">
        <f t="shared" si="73"/>
        <v>-5.46164624637413E-8</v>
      </c>
      <c r="AG491" s="212"/>
      <c r="AH491" s="212"/>
      <c r="AI491" s="212"/>
      <c r="AJ491" s="212"/>
      <c r="AK491" s="212"/>
      <c r="AL491" s="212"/>
      <c r="AM491" s="212"/>
      <c r="AN491" s="212"/>
      <c r="AO491" s="212"/>
      <c r="AP491" s="196"/>
      <c r="AQ491" s="196"/>
      <c r="AR491" s="211"/>
      <c r="AS491" s="212">
        <f t="shared" si="65"/>
        <v>-1.3702145906790974E-9</v>
      </c>
      <c r="AT491" s="212">
        <f>[1]!LIM(AT490+Mode*r0*((1+IntegrationStep/2/Ti+Td/IntegrationStep)*AS491-(1-IntegrationStep/2/Ti+2*Td/IntegrationStep)*AS490+Td/IntegrationStep*AS489))</f>
        <v>0.40307869577276639</v>
      </c>
      <c r="AU491" s="212">
        <f t="shared" si="66"/>
        <v>40.794124671602574</v>
      </c>
      <c r="AW491" s="58"/>
      <c r="AX491" s="58"/>
      <c r="AY491" s="58"/>
      <c r="AZ491" s="58"/>
    </row>
    <row r="492" spans="1:52" s="185" customFormat="1" ht="15" customHeight="1" x14ac:dyDescent="0.25">
      <c r="A492" s="200"/>
      <c r="B492" s="211"/>
      <c r="C492" s="212">
        <f t="shared" si="67"/>
        <v>48.100000000000414</v>
      </c>
      <c r="D492" s="231">
        <f>15+[1]!STEPLOAD(5)</f>
        <v>20</v>
      </c>
      <c r="E492" s="212">
        <f t="shared" si="69"/>
        <v>40.79412480316239</v>
      </c>
      <c r="F492" s="212">
        <f t="shared" si="70"/>
        <v>0.5</v>
      </c>
      <c r="G492" s="212">
        <f>5</f>
        <v>5</v>
      </c>
      <c r="H492" s="212">
        <f t="shared" si="68"/>
        <v>48.369443530610766</v>
      </c>
      <c r="I492" s="212">
        <f t="shared" si="71"/>
        <v>0.9</v>
      </c>
      <c r="J492" s="212">
        <f>1</f>
        <v>1</v>
      </c>
      <c r="K492" s="212">
        <f t="shared" si="72"/>
        <v>4.1870000000000003</v>
      </c>
      <c r="L492" s="212"/>
      <c r="M492" s="212"/>
      <c r="N492" s="212"/>
      <c r="O492" s="212"/>
      <c r="P492" s="212"/>
      <c r="Q492" s="212"/>
      <c r="R492" s="212"/>
      <c r="S492" s="212"/>
      <c r="T492" s="212"/>
      <c r="U492" s="212"/>
      <c r="V492" s="212"/>
      <c r="W492" s="212"/>
      <c r="X492" s="212"/>
      <c r="Y492" s="212"/>
      <c r="Z492" s="212"/>
      <c r="AA492" s="212"/>
      <c r="AB492" s="212"/>
      <c r="AC492" s="196"/>
      <c r="AD492" s="27"/>
      <c r="AE492" s="213"/>
      <c r="AF492" s="212">
        <f t="shared" si="73"/>
        <v>-5.2441881059905882E-8</v>
      </c>
      <c r="AG492" s="212"/>
      <c r="AH492" s="212"/>
      <c r="AI492" s="212"/>
      <c r="AJ492" s="212"/>
      <c r="AK492" s="212"/>
      <c r="AL492" s="212"/>
      <c r="AM492" s="212"/>
      <c r="AN492" s="212"/>
      <c r="AO492" s="212"/>
      <c r="AP492" s="196"/>
      <c r="AQ492" s="196"/>
      <c r="AR492" s="211"/>
      <c r="AS492" s="212">
        <f t="shared" si="65"/>
        <v>-1.3155981548607088E-9</v>
      </c>
      <c r="AT492" s="212">
        <f>[1]!LIM(AT491+Mode*r0*((1+IntegrationStep/2/Ti+Td/IntegrationStep)*AS492-(1-IntegrationStep/2/Ti+2*Td/IntegrationStep)*AS491+Td/IntegrationStep*AS490))</f>
        <v>0.40307869608842306</v>
      </c>
      <c r="AU492" s="212">
        <f t="shared" si="66"/>
        <v>40.794124671602574</v>
      </c>
      <c r="AW492" s="58"/>
      <c r="AX492" s="58"/>
      <c r="AY492" s="58"/>
      <c r="AZ492" s="58"/>
    </row>
    <row r="493" spans="1:52" s="185" customFormat="1" ht="15" customHeight="1" x14ac:dyDescent="0.25">
      <c r="A493" s="200"/>
      <c r="B493" s="211"/>
      <c r="C493" s="212">
        <f t="shared" si="67"/>
        <v>48.200000000000415</v>
      </c>
      <c r="D493" s="231">
        <f>15+[1]!STEPLOAD(5)</f>
        <v>20</v>
      </c>
      <c r="E493" s="212">
        <f t="shared" si="69"/>
        <v>40.794124797918201</v>
      </c>
      <c r="F493" s="212">
        <f t="shared" si="70"/>
        <v>0.5</v>
      </c>
      <c r="G493" s="212">
        <f>5</f>
        <v>5</v>
      </c>
      <c r="H493" s="212">
        <f t="shared" si="68"/>
        <v>48.369443566984195</v>
      </c>
      <c r="I493" s="212">
        <f t="shared" si="71"/>
        <v>0.9</v>
      </c>
      <c r="J493" s="212">
        <f>1</f>
        <v>1</v>
      </c>
      <c r="K493" s="212">
        <f t="shared" si="72"/>
        <v>4.1870000000000003</v>
      </c>
      <c r="L493" s="212"/>
      <c r="M493" s="212"/>
      <c r="N493" s="212"/>
      <c r="O493" s="212"/>
      <c r="P493" s="212"/>
      <c r="Q493" s="212"/>
      <c r="R493" s="212"/>
      <c r="S493" s="212"/>
      <c r="T493" s="212"/>
      <c r="U493" s="212"/>
      <c r="V493" s="212"/>
      <c r="W493" s="212"/>
      <c r="X493" s="212"/>
      <c r="Y493" s="212"/>
      <c r="Z493" s="212"/>
      <c r="AA493" s="212"/>
      <c r="AB493" s="212"/>
      <c r="AC493" s="196"/>
      <c r="AD493" s="27"/>
      <c r="AE493" s="213"/>
      <c r="AF493" s="212">
        <f t="shared" si="73"/>
        <v>-5.0353760716603801E-8</v>
      </c>
      <c r="AG493" s="212"/>
      <c r="AH493" s="212"/>
      <c r="AI493" s="212"/>
      <c r="AJ493" s="212"/>
      <c r="AK493" s="212"/>
      <c r="AL493" s="212"/>
      <c r="AM493" s="212"/>
      <c r="AN493" s="212"/>
      <c r="AO493" s="212"/>
      <c r="AP493" s="196"/>
      <c r="AQ493" s="196"/>
      <c r="AR493" s="211"/>
      <c r="AS493" s="212">
        <f t="shared" si="65"/>
        <v>-1.2631562640308403E-9</v>
      </c>
      <c r="AT493" s="212">
        <f>[1]!LIM(AT492+Mode*r0*((1+IntegrationStep/2/Ti+Td/IntegrationStep)*AS493-(1-IntegrationStep/2/Ti+2*Td/IntegrationStep)*AS492+Td/IntegrationStep*AS491))</f>
        <v>0.40307869639153499</v>
      </c>
      <c r="AU493" s="212">
        <f t="shared" si="66"/>
        <v>40.794124671602574</v>
      </c>
      <c r="AW493" s="58"/>
      <c r="AX493" s="58"/>
      <c r="AY493" s="58"/>
      <c r="AZ493" s="58"/>
    </row>
    <row r="494" spans="1:52" s="185" customFormat="1" ht="15" customHeight="1" x14ac:dyDescent="0.25">
      <c r="A494" s="200"/>
      <c r="B494" s="211"/>
      <c r="C494" s="212">
        <f t="shared" si="67"/>
        <v>48.300000000000416</v>
      </c>
      <c r="D494" s="231">
        <f>15+[1]!STEPLOAD(5)</f>
        <v>20</v>
      </c>
      <c r="E494" s="212">
        <f t="shared" si="69"/>
        <v>40.794124792882826</v>
      </c>
      <c r="F494" s="212">
        <f t="shared" si="70"/>
        <v>0.5</v>
      </c>
      <c r="G494" s="212">
        <f>5</f>
        <v>5</v>
      </c>
      <c r="H494" s="212">
        <f t="shared" si="68"/>
        <v>48.369443601911875</v>
      </c>
      <c r="I494" s="212">
        <f t="shared" si="71"/>
        <v>0.9</v>
      </c>
      <c r="J494" s="212">
        <f>1</f>
        <v>1</v>
      </c>
      <c r="K494" s="212">
        <f t="shared" si="72"/>
        <v>4.1870000000000003</v>
      </c>
      <c r="L494" s="212"/>
      <c r="M494" s="212"/>
      <c r="N494" s="212"/>
      <c r="O494" s="212"/>
      <c r="P494" s="212"/>
      <c r="Q494" s="212"/>
      <c r="R494" s="212"/>
      <c r="S494" s="212"/>
      <c r="T494" s="212"/>
      <c r="U494" s="212"/>
      <c r="V494" s="212"/>
      <c r="W494" s="212"/>
      <c r="X494" s="212"/>
      <c r="Y494" s="212"/>
      <c r="Z494" s="212"/>
      <c r="AA494" s="212"/>
      <c r="AB494" s="212"/>
      <c r="AC494" s="196"/>
      <c r="AD494" s="27"/>
      <c r="AE494" s="213"/>
      <c r="AF494" s="212">
        <f t="shared" si="73"/>
        <v>-4.8348675285581066E-8</v>
      </c>
      <c r="AG494" s="212"/>
      <c r="AH494" s="212"/>
      <c r="AI494" s="212"/>
      <c r="AJ494" s="212"/>
      <c r="AK494" s="212"/>
      <c r="AL494" s="212"/>
      <c r="AM494" s="212"/>
      <c r="AN494" s="212"/>
      <c r="AO494" s="212"/>
      <c r="AP494" s="196"/>
      <c r="AQ494" s="196"/>
      <c r="AR494" s="211"/>
      <c r="AS494" s="212">
        <f t="shared" si="65"/>
        <v>-1.2128025161928235E-9</v>
      </c>
      <c r="AT494" s="212">
        <f>[1]!LIM(AT493+Mode*r0*((1+IntegrationStep/2/Ti+Td/IntegrationStep)*AS494-(1-IntegrationStep/2/Ti+2*Td/IntegrationStep)*AS493+Td/IntegrationStep*AS492))</f>
        <v>0.40307869668259894</v>
      </c>
      <c r="AU494" s="212">
        <f t="shared" si="66"/>
        <v>40.794124671602574</v>
      </c>
      <c r="AW494" s="58"/>
      <c r="AX494" s="58"/>
      <c r="AY494" s="58"/>
      <c r="AZ494" s="58"/>
    </row>
    <row r="495" spans="1:52" s="185" customFormat="1" ht="15" customHeight="1" x14ac:dyDescent="0.25">
      <c r="A495" s="200"/>
      <c r="B495" s="211"/>
      <c r="C495" s="212">
        <f t="shared" si="67"/>
        <v>48.400000000000418</v>
      </c>
      <c r="D495" s="231">
        <f>15+[1]!STEPLOAD(5)</f>
        <v>20</v>
      </c>
      <c r="E495" s="212">
        <f t="shared" si="69"/>
        <v>40.794124788047959</v>
      </c>
      <c r="F495" s="212">
        <f t="shared" si="70"/>
        <v>0.5</v>
      </c>
      <c r="G495" s="212">
        <f>5</f>
        <v>5</v>
      </c>
      <c r="H495" s="212">
        <f t="shared" si="68"/>
        <v>48.369443635451205</v>
      </c>
      <c r="I495" s="212">
        <f t="shared" si="71"/>
        <v>0.9</v>
      </c>
      <c r="J495" s="212">
        <f>1</f>
        <v>1</v>
      </c>
      <c r="K495" s="212">
        <f t="shared" si="72"/>
        <v>4.1870000000000003</v>
      </c>
      <c r="L495" s="212"/>
      <c r="M495" s="212"/>
      <c r="N495" s="212"/>
      <c r="O495" s="212"/>
      <c r="P495" s="212"/>
      <c r="Q495" s="212"/>
      <c r="R495" s="212"/>
      <c r="S495" s="212"/>
      <c r="T495" s="212"/>
      <c r="U495" s="212"/>
      <c r="V495" s="212"/>
      <c r="W495" s="212"/>
      <c r="X495" s="212"/>
      <c r="Y495" s="212"/>
      <c r="Z495" s="212"/>
      <c r="AA495" s="212"/>
      <c r="AB495" s="212"/>
      <c r="AC495" s="196"/>
      <c r="AD495" s="27"/>
      <c r="AE495" s="213"/>
      <c r="AF495" s="212">
        <f t="shared" si="73"/>
        <v>-4.64233256280977E-8</v>
      </c>
      <c r="AG495" s="212"/>
      <c r="AH495" s="212"/>
      <c r="AI495" s="212"/>
      <c r="AJ495" s="212"/>
      <c r="AK495" s="212"/>
      <c r="AL495" s="212"/>
      <c r="AM495" s="212"/>
      <c r="AN495" s="212"/>
      <c r="AO495" s="212"/>
      <c r="AP495" s="196"/>
      <c r="AQ495" s="196"/>
      <c r="AR495" s="211"/>
      <c r="AS495" s="212">
        <f t="shared" si="65"/>
        <v>-1.1644538489008482E-9</v>
      </c>
      <c r="AT495" s="212">
        <f>[1]!LIM(AT494+Mode*r0*((1+IntegrationStep/2/Ti+Td/IntegrationStep)*AS495-(1-IntegrationStep/2/Ti+2*Td/IntegrationStep)*AS494+Td/IntegrationStep*AS493))</f>
        <v>0.40307869696209336</v>
      </c>
      <c r="AU495" s="212">
        <f t="shared" si="66"/>
        <v>40.794124671602574</v>
      </c>
      <c r="AW495" s="58"/>
      <c r="AX495" s="58"/>
      <c r="AY495" s="58"/>
      <c r="AZ495" s="58"/>
    </row>
    <row r="496" spans="1:52" s="185" customFormat="1" ht="15" customHeight="1" x14ac:dyDescent="0.25">
      <c r="A496" s="200"/>
      <c r="B496" s="211"/>
      <c r="C496" s="212">
        <f t="shared" si="67"/>
        <v>48.500000000000419</v>
      </c>
      <c r="D496" s="231">
        <f>15+[1]!STEPLOAD(5)</f>
        <v>20</v>
      </c>
      <c r="E496" s="212">
        <f t="shared" si="69"/>
        <v>40.794124783405628</v>
      </c>
      <c r="F496" s="212">
        <f t="shared" si="70"/>
        <v>0.5</v>
      </c>
      <c r="G496" s="212">
        <f>5</f>
        <v>5</v>
      </c>
      <c r="H496" s="212">
        <f t="shared" si="68"/>
        <v>48.369443667657265</v>
      </c>
      <c r="I496" s="212">
        <f t="shared" si="71"/>
        <v>0.9</v>
      </c>
      <c r="J496" s="212">
        <f>1</f>
        <v>1</v>
      </c>
      <c r="K496" s="212">
        <f t="shared" si="72"/>
        <v>4.1870000000000003</v>
      </c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  <c r="AA496" s="212"/>
      <c r="AB496" s="212"/>
      <c r="AC496" s="196"/>
      <c r="AD496" s="27"/>
      <c r="AE496" s="213"/>
      <c r="AF496" s="212">
        <f t="shared" si="73"/>
        <v>-4.4574547164444311E-8</v>
      </c>
      <c r="AG496" s="212"/>
      <c r="AH496" s="212"/>
      <c r="AI496" s="212"/>
      <c r="AJ496" s="212"/>
      <c r="AK496" s="212"/>
      <c r="AL496" s="212"/>
      <c r="AM496" s="212"/>
      <c r="AN496" s="212"/>
      <c r="AO496" s="212"/>
      <c r="AP496" s="196"/>
      <c r="AQ496" s="196"/>
      <c r="AR496" s="211"/>
      <c r="AS496" s="212">
        <f t="shared" si="65"/>
        <v>-1.1180305392599621E-9</v>
      </c>
      <c r="AT496" s="212">
        <f>[1]!LIM(AT495+Mode*r0*((1+IntegrationStep/2/Ti+Td/IntegrationStep)*AS496-(1-IntegrationStep/2/Ti+2*Td/IntegrationStep)*AS495+Td/IntegrationStep*AS494))</f>
        <v>0.40307869723047718</v>
      </c>
      <c r="AU496" s="212">
        <f t="shared" si="66"/>
        <v>40.794124671602574</v>
      </c>
      <c r="AW496" s="58"/>
      <c r="AX496" s="58"/>
      <c r="AY496" s="58"/>
      <c r="AZ496" s="58"/>
    </row>
    <row r="497" spans="1:52" s="185" customFormat="1" ht="15" customHeight="1" x14ac:dyDescent="0.25">
      <c r="A497" s="200"/>
      <c r="B497" s="211"/>
      <c r="C497" s="212">
        <f t="shared" si="67"/>
        <v>48.600000000000421</v>
      </c>
      <c r="D497" s="231">
        <f>15+[1]!STEPLOAD(5)</f>
        <v>20</v>
      </c>
      <c r="E497" s="212">
        <f t="shared" si="69"/>
        <v>40.794124778948174</v>
      </c>
      <c r="F497" s="212">
        <f t="shared" si="70"/>
        <v>0.5</v>
      </c>
      <c r="G497" s="212">
        <f>5</f>
        <v>5</v>
      </c>
      <c r="H497" s="212">
        <f t="shared" si="68"/>
        <v>48.369443698583005</v>
      </c>
      <c r="I497" s="212">
        <f t="shared" si="71"/>
        <v>0.9</v>
      </c>
      <c r="J497" s="212">
        <f>1</f>
        <v>1</v>
      </c>
      <c r="K497" s="212">
        <f t="shared" si="72"/>
        <v>4.1870000000000003</v>
      </c>
      <c r="L497" s="212"/>
      <c r="M497" s="212"/>
      <c r="N497" s="212"/>
      <c r="O497" s="212"/>
      <c r="P497" s="212"/>
      <c r="Q497" s="212"/>
      <c r="R497" s="212"/>
      <c r="S497" s="212"/>
      <c r="T497" s="212"/>
      <c r="U497" s="212"/>
      <c r="V497" s="212"/>
      <c r="W497" s="212"/>
      <c r="X497" s="212"/>
      <c r="Y497" s="212"/>
      <c r="Z497" s="212"/>
      <c r="AA497" s="212"/>
      <c r="AB497" s="212"/>
      <c r="AC497" s="196"/>
      <c r="AD497" s="27"/>
      <c r="AE497" s="213"/>
      <c r="AF497" s="212">
        <f t="shared" si="73"/>
        <v>-4.2799297883533427E-8</v>
      </c>
      <c r="AG497" s="212"/>
      <c r="AH497" s="212"/>
      <c r="AI497" s="212"/>
      <c r="AJ497" s="212"/>
      <c r="AK497" s="212"/>
      <c r="AL497" s="212"/>
      <c r="AM497" s="212"/>
      <c r="AN497" s="212"/>
      <c r="AO497" s="212"/>
      <c r="AP497" s="196"/>
      <c r="AQ497" s="196"/>
      <c r="AR497" s="211"/>
      <c r="AS497" s="212">
        <f t="shared" si="65"/>
        <v>-1.0734559907632502E-9</v>
      </c>
      <c r="AT497" s="212">
        <f>[1]!LIM(AT496+Mode*r0*((1+IntegrationStep/2/Ti+Td/IntegrationStep)*AS497-(1-IntegrationStep/2/Ti+2*Td/IntegrationStep)*AS496+Td/IntegrationStep*AS495))</f>
        <v>0.4030786974881917</v>
      </c>
      <c r="AU497" s="212">
        <f t="shared" si="66"/>
        <v>40.794124671602574</v>
      </c>
      <c r="AW497" s="58"/>
      <c r="AX497" s="58"/>
      <c r="AY497" s="58"/>
      <c r="AZ497" s="58"/>
    </row>
    <row r="498" spans="1:52" s="185" customFormat="1" ht="15" customHeight="1" x14ac:dyDescent="0.25">
      <c r="A498" s="200"/>
      <c r="B498" s="211"/>
      <c r="C498" s="212">
        <f t="shared" si="67"/>
        <v>48.700000000000422</v>
      </c>
      <c r="D498" s="231">
        <f>15+[1]!STEPLOAD(5)</f>
        <v>20</v>
      </c>
      <c r="E498" s="212">
        <f t="shared" si="69"/>
        <v>40.794124774668241</v>
      </c>
      <c r="F498" s="212">
        <f t="shared" si="70"/>
        <v>0.5</v>
      </c>
      <c r="G498" s="212">
        <f>5</f>
        <v>5</v>
      </c>
      <c r="H498" s="212">
        <f t="shared" si="68"/>
        <v>48.369443728279265</v>
      </c>
      <c r="I498" s="212">
        <f t="shared" si="71"/>
        <v>0.9</v>
      </c>
      <c r="J498" s="212">
        <f>1</f>
        <v>1</v>
      </c>
      <c r="K498" s="212">
        <f t="shared" si="72"/>
        <v>4.1870000000000003</v>
      </c>
      <c r="L498" s="212"/>
      <c r="M498" s="212"/>
      <c r="N498" s="212"/>
      <c r="O498" s="212"/>
      <c r="P498" s="212"/>
      <c r="Q498" s="212"/>
      <c r="R498" s="212"/>
      <c r="S498" s="212"/>
      <c r="T498" s="212"/>
      <c r="U498" s="212"/>
      <c r="V498" s="212"/>
      <c r="W498" s="212"/>
      <c r="X498" s="212"/>
      <c r="Y498" s="212"/>
      <c r="Z498" s="212"/>
      <c r="AA498" s="212"/>
      <c r="AB498" s="212"/>
      <c r="AC498" s="196"/>
      <c r="AD498" s="27"/>
      <c r="AE498" s="213"/>
      <c r="AF498" s="212">
        <f t="shared" si="73"/>
        <v>-4.1094656122453443E-8</v>
      </c>
      <c r="AG498" s="212"/>
      <c r="AH498" s="212"/>
      <c r="AI498" s="212"/>
      <c r="AJ498" s="212"/>
      <c r="AK498" s="212"/>
      <c r="AL498" s="212"/>
      <c r="AM498" s="212"/>
      <c r="AN498" s="212"/>
      <c r="AO498" s="212"/>
      <c r="AP498" s="196"/>
      <c r="AQ498" s="196"/>
      <c r="AR498" s="211"/>
      <c r="AS498" s="212">
        <f t="shared" si="65"/>
        <v>-1.0306566622375612E-9</v>
      </c>
      <c r="AT498" s="212">
        <f>[1]!LIM(AT497+Mode*r0*((1+IntegrationStep/2/Ti+Td/IntegrationStep)*AS498-(1-IntegrationStep/2/Ti+2*Td/IntegrationStep)*AS497+Td/IntegrationStep*AS496))</f>
        <v>0.40307869773566052</v>
      </c>
      <c r="AU498" s="212">
        <f t="shared" si="66"/>
        <v>40.794124671602574</v>
      </c>
      <c r="AW498" s="58"/>
      <c r="AX498" s="58"/>
      <c r="AY498" s="58"/>
      <c r="AZ498" s="58"/>
    </row>
    <row r="499" spans="1:52" s="185" customFormat="1" ht="15" customHeight="1" x14ac:dyDescent="0.25">
      <c r="A499" s="200"/>
      <c r="B499" s="211"/>
      <c r="C499" s="212">
        <f t="shared" si="67"/>
        <v>48.800000000000423</v>
      </c>
      <c r="D499" s="231">
        <f>15+[1]!STEPLOAD(5)</f>
        <v>20</v>
      </c>
      <c r="E499" s="212">
        <f t="shared" si="69"/>
        <v>40.794124770558774</v>
      </c>
      <c r="F499" s="212">
        <f t="shared" si="70"/>
        <v>0.5</v>
      </c>
      <c r="G499" s="212">
        <f>5</f>
        <v>5</v>
      </c>
      <c r="H499" s="212">
        <f t="shared" si="68"/>
        <v>48.369443756794738</v>
      </c>
      <c r="I499" s="212">
        <f t="shared" si="71"/>
        <v>0.9</v>
      </c>
      <c r="J499" s="212">
        <f>1</f>
        <v>1</v>
      </c>
      <c r="K499" s="212">
        <f t="shared" si="72"/>
        <v>4.1870000000000003</v>
      </c>
      <c r="L499" s="212"/>
      <c r="M499" s="212"/>
      <c r="N499" s="212"/>
      <c r="O499" s="212"/>
      <c r="P499" s="212"/>
      <c r="Q499" s="212"/>
      <c r="R499" s="212"/>
      <c r="S499" s="212"/>
      <c r="T499" s="212"/>
      <c r="U499" s="212"/>
      <c r="V499" s="212"/>
      <c r="W499" s="212"/>
      <c r="X499" s="212"/>
      <c r="Y499" s="212"/>
      <c r="Z499" s="212"/>
      <c r="AA499" s="212"/>
      <c r="AB499" s="212"/>
      <c r="AC499" s="196"/>
      <c r="AD499" s="27"/>
      <c r="AE499" s="213"/>
      <c r="AF499" s="212">
        <f t="shared" si="73"/>
        <v>-3.9457823675093096E-8</v>
      </c>
      <c r="AG499" s="212"/>
      <c r="AH499" s="212"/>
      <c r="AI499" s="212"/>
      <c r="AJ499" s="212"/>
      <c r="AK499" s="212"/>
      <c r="AL499" s="212"/>
      <c r="AM499" s="212"/>
      <c r="AN499" s="212"/>
      <c r="AO499" s="212"/>
      <c r="AP499" s="196"/>
      <c r="AQ499" s="196"/>
      <c r="AR499" s="211"/>
      <c r="AS499" s="212">
        <f t="shared" si="65"/>
        <v>-9.8956199678923441E-10</v>
      </c>
      <c r="AT499" s="212">
        <f>[1]!LIM(AT498+Mode*r0*((1+IntegrationStep/2/Ti+Td/IntegrationStep)*AS499-(1-IntegrationStep/2/Ti+2*Td/IntegrationStep)*AS498+Td/IntegrationStep*AS497))</f>
        <v>0.40307869797328949</v>
      </c>
      <c r="AU499" s="212">
        <f t="shared" si="66"/>
        <v>40.794124671602574</v>
      </c>
      <c r="AW499" s="58"/>
      <c r="AX499" s="58"/>
      <c r="AY499" s="58"/>
      <c r="AZ499" s="58"/>
    </row>
    <row r="500" spans="1:52" s="185" customFormat="1" ht="15" customHeight="1" x14ac:dyDescent="0.25">
      <c r="A500" s="200"/>
      <c r="B500" s="211"/>
      <c r="C500" s="212">
        <f t="shared" si="67"/>
        <v>48.900000000000425</v>
      </c>
      <c r="D500" s="231">
        <f>15+[1]!STEPLOAD(5)</f>
        <v>20</v>
      </c>
      <c r="E500" s="212">
        <f t="shared" si="69"/>
        <v>40.794124766612995</v>
      </c>
      <c r="F500" s="212">
        <f t="shared" si="70"/>
        <v>0.5</v>
      </c>
      <c r="G500" s="212">
        <f>5</f>
        <v>5</v>
      </c>
      <c r="H500" s="212">
        <f t="shared" si="68"/>
        <v>48.369443784176269</v>
      </c>
      <c r="I500" s="212">
        <f t="shared" si="71"/>
        <v>0.9</v>
      </c>
      <c r="J500" s="212">
        <f>1</f>
        <v>1</v>
      </c>
      <c r="K500" s="212">
        <f t="shared" si="72"/>
        <v>4.1870000000000003</v>
      </c>
      <c r="L500" s="212"/>
      <c r="M500" s="212"/>
      <c r="N500" s="212"/>
      <c r="O500" s="212"/>
      <c r="P500" s="212"/>
      <c r="Q500" s="212"/>
      <c r="R500" s="212"/>
      <c r="S500" s="212"/>
      <c r="T500" s="212"/>
      <c r="U500" s="212"/>
      <c r="V500" s="212"/>
      <c r="W500" s="212"/>
      <c r="X500" s="212"/>
      <c r="Y500" s="212"/>
      <c r="Z500" s="212"/>
      <c r="AA500" s="212"/>
      <c r="AB500" s="212"/>
      <c r="AC500" s="196"/>
      <c r="AD500" s="27"/>
      <c r="AE500" s="213"/>
      <c r="AF500" s="212">
        <f t="shared" si="73"/>
        <v>-3.7886108028573062E-8</v>
      </c>
      <c r="AG500" s="212"/>
      <c r="AH500" s="212"/>
      <c r="AI500" s="212"/>
      <c r="AJ500" s="212"/>
      <c r="AK500" s="212"/>
      <c r="AL500" s="212"/>
      <c r="AM500" s="212"/>
      <c r="AN500" s="212"/>
      <c r="AO500" s="212"/>
      <c r="AP500" s="196"/>
      <c r="AQ500" s="196"/>
      <c r="AR500" s="211"/>
      <c r="AS500" s="212">
        <f t="shared" si="65"/>
        <v>-9.5010420864127808E-10</v>
      </c>
      <c r="AT500" s="212">
        <f>[1]!LIM(AT499+Mode*r0*((1+IntegrationStep/2/Ti+Td/IntegrationStep)*AS500-(1-IntegrationStep/2/Ti+2*Td/IntegrationStep)*AS499+Td/IntegrationStep*AS498))</f>
        <v>0.40307869820146891</v>
      </c>
      <c r="AU500" s="212">
        <f t="shared" si="66"/>
        <v>40.794124671602574</v>
      </c>
      <c r="AW500" s="58"/>
      <c r="AX500" s="58"/>
      <c r="AY500" s="58"/>
      <c r="AZ500" s="58"/>
    </row>
    <row r="501" spans="1:52" s="185" customFormat="1" ht="15" customHeight="1" x14ac:dyDescent="0.25">
      <c r="A501" s="200"/>
      <c r="B501" s="211"/>
      <c r="C501" s="212">
        <f t="shared" si="67"/>
        <v>49.000000000000426</v>
      </c>
      <c r="D501" s="231">
        <f>15+[1]!STEPLOAD(5)</f>
        <v>20</v>
      </c>
      <c r="E501" s="212">
        <f t="shared" si="69"/>
        <v>40.794124762824381</v>
      </c>
      <c r="F501" s="212">
        <f t="shared" si="70"/>
        <v>0.5</v>
      </c>
      <c r="G501" s="212">
        <f>5</f>
        <v>5</v>
      </c>
      <c r="H501" s="212">
        <f t="shared" si="68"/>
        <v>48.369443810469072</v>
      </c>
      <c r="I501" s="212">
        <f t="shared" si="71"/>
        <v>0.9</v>
      </c>
      <c r="J501" s="212">
        <f>1</f>
        <v>1</v>
      </c>
      <c r="K501" s="212">
        <f t="shared" si="72"/>
        <v>4.1870000000000003</v>
      </c>
      <c r="L501" s="212"/>
      <c r="M501" s="212"/>
      <c r="N501" s="212"/>
      <c r="O501" s="212"/>
      <c r="P501" s="212"/>
      <c r="Q501" s="212"/>
      <c r="R501" s="212"/>
      <c r="S501" s="212"/>
      <c r="T501" s="212"/>
      <c r="U501" s="212"/>
      <c r="V501" s="212"/>
      <c r="W501" s="212"/>
      <c r="X501" s="212"/>
      <c r="Y501" s="212"/>
      <c r="Z501" s="212"/>
      <c r="AA501" s="212"/>
      <c r="AB501" s="212"/>
      <c r="AC501" s="196"/>
      <c r="AD501" s="27"/>
      <c r="AE501" s="213"/>
      <c r="AF501" s="212">
        <f t="shared" si="73"/>
        <v>-3.637691348146177E-8</v>
      </c>
      <c r="AG501" s="212"/>
      <c r="AH501" s="212"/>
      <c r="AI501" s="212"/>
      <c r="AJ501" s="212"/>
      <c r="AK501" s="212"/>
      <c r="AL501" s="212"/>
      <c r="AM501" s="212"/>
      <c r="AN501" s="212"/>
      <c r="AO501" s="212"/>
      <c r="AP501" s="196"/>
      <c r="AQ501" s="196"/>
      <c r="AR501" s="211"/>
      <c r="AS501" s="212">
        <f t="shared" si="65"/>
        <v>-9.1221806997054954E-10</v>
      </c>
      <c r="AT501" s="212">
        <f>[1]!LIM(AT500+Mode*r0*((1+IntegrationStep/2/Ti+Td/IntegrationStep)*AS501-(1-IntegrationStep/2/Ti+2*Td/IntegrationStep)*AS500+Td/IntegrationStep*AS499))</f>
        <v>0.40307869842057559</v>
      </c>
      <c r="AU501" s="212">
        <f t="shared" si="66"/>
        <v>40.794124671602574</v>
      </c>
      <c r="AW501" s="58"/>
      <c r="AX501" s="58"/>
      <c r="AY501" s="58"/>
      <c r="AZ501" s="58"/>
    </row>
    <row r="502" spans="1:52" s="185" customFormat="1" ht="15" customHeight="1" x14ac:dyDescent="0.25">
      <c r="A502" s="200"/>
      <c r="B502" s="211"/>
      <c r="C502" s="212">
        <f t="shared" si="67"/>
        <v>49.100000000000428</v>
      </c>
      <c r="D502" s="231">
        <f>15+[1]!STEPLOAD(5)</f>
        <v>20</v>
      </c>
      <c r="E502" s="212">
        <f t="shared" si="69"/>
        <v>40.794124759186687</v>
      </c>
      <c r="F502" s="212">
        <f t="shared" si="70"/>
        <v>0.5</v>
      </c>
      <c r="G502" s="212">
        <f>5</f>
        <v>5</v>
      </c>
      <c r="H502" s="212">
        <f t="shared" si="68"/>
        <v>48.36944383571624</v>
      </c>
      <c r="I502" s="212">
        <f t="shared" si="71"/>
        <v>0.9</v>
      </c>
      <c r="J502" s="212">
        <f>1</f>
        <v>1</v>
      </c>
      <c r="K502" s="212">
        <f t="shared" si="72"/>
        <v>4.1870000000000003</v>
      </c>
      <c r="L502" s="212"/>
      <c r="M502" s="212"/>
      <c r="N502" s="212"/>
      <c r="O502" s="212"/>
      <c r="P502" s="212"/>
      <c r="Q502" s="212"/>
      <c r="R502" s="212"/>
      <c r="S502" s="212"/>
      <c r="T502" s="212"/>
      <c r="U502" s="212"/>
      <c r="V502" s="212"/>
      <c r="W502" s="212"/>
      <c r="X502" s="212"/>
      <c r="Y502" s="212"/>
      <c r="Z502" s="212"/>
      <c r="AA502" s="212"/>
      <c r="AB502" s="212"/>
      <c r="AC502" s="196"/>
      <c r="AD502" s="27"/>
      <c r="AE502" s="213"/>
      <c r="AF502" s="212">
        <f t="shared" si="73"/>
        <v>-3.4927762904146675E-8</v>
      </c>
      <c r="AG502" s="212"/>
      <c r="AH502" s="212"/>
      <c r="AI502" s="212"/>
      <c r="AJ502" s="212"/>
      <c r="AK502" s="212"/>
      <c r="AL502" s="212"/>
      <c r="AM502" s="212"/>
      <c r="AN502" s="212"/>
      <c r="AO502" s="212"/>
      <c r="AP502" s="196"/>
      <c r="AQ502" s="196"/>
      <c r="AR502" s="211"/>
      <c r="AS502" s="212">
        <f t="shared" si="65"/>
        <v>-8.7584112407057541E-10</v>
      </c>
      <c r="AT502" s="212">
        <f>[1]!LIM(AT501+Mode*r0*((1+IntegrationStep/2/Ti+Td/IntegrationStep)*AS502-(1-IntegrationStep/2/Ti+2*Td/IntegrationStep)*AS501+Td/IntegrationStep*AS500))</f>
        <v>0.40307869863096868</v>
      </c>
      <c r="AU502" s="212">
        <f t="shared" si="66"/>
        <v>40.794124671602574</v>
      </c>
      <c r="AW502" s="58"/>
      <c r="AX502" s="58"/>
      <c r="AY502" s="58"/>
      <c r="AZ502" s="58"/>
    </row>
    <row r="503" spans="1:52" s="185" customFormat="1" ht="15" customHeight="1" x14ac:dyDescent="0.25">
      <c r="A503" s="200"/>
      <c r="B503" s="211"/>
      <c r="C503" s="212">
        <f t="shared" si="67"/>
        <v>49.200000000000429</v>
      </c>
      <c r="D503" s="231">
        <f>15+[1]!STEPLOAD(5)</f>
        <v>20</v>
      </c>
      <c r="E503" s="212">
        <f t="shared" si="69"/>
        <v>40.794124755693908</v>
      </c>
      <c r="F503" s="212">
        <f t="shared" si="70"/>
        <v>0.5</v>
      </c>
      <c r="G503" s="212">
        <f>5</f>
        <v>5</v>
      </c>
      <c r="H503" s="212">
        <f t="shared" si="68"/>
        <v>48.369443859959297</v>
      </c>
      <c r="I503" s="212">
        <f t="shared" si="71"/>
        <v>0.9</v>
      </c>
      <c r="J503" s="212">
        <f>1</f>
        <v>1</v>
      </c>
      <c r="K503" s="212">
        <f t="shared" si="72"/>
        <v>4.1870000000000003</v>
      </c>
      <c r="L503" s="212"/>
      <c r="M503" s="212"/>
      <c r="N503" s="212"/>
      <c r="O503" s="212"/>
      <c r="P503" s="212"/>
      <c r="Q503" s="212"/>
      <c r="R503" s="212"/>
      <c r="S503" s="212"/>
      <c r="T503" s="212"/>
      <c r="U503" s="212"/>
      <c r="V503" s="212"/>
      <c r="W503" s="212"/>
      <c r="X503" s="212"/>
      <c r="Y503" s="212"/>
      <c r="Z503" s="212"/>
      <c r="AA503" s="212"/>
      <c r="AB503" s="212"/>
      <c r="AC503" s="196"/>
      <c r="AD503" s="27"/>
      <c r="AE503" s="213"/>
      <c r="AF503" s="212">
        <f t="shared" si="73"/>
        <v>-3.3536271093481673E-8</v>
      </c>
      <c r="AG503" s="212"/>
      <c r="AH503" s="212"/>
      <c r="AI503" s="212"/>
      <c r="AJ503" s="212"/>
      <c r="AK503" s="212"/>
      <c r="AL503" s="212"/>
      <c r="AM503" s="212"/>
      <c r="AN503" s="212"/>
      <c r="AO503" s="212"/>
      <c r="AP503" s="196"/>
      <c r="AQ503" s="196"/>
      <c r="AR503" s="211"/>
      <c r="AS503" s="212">
        <f t="shared" si="65"/>
        <v>-8.4091333008018409E-10</v>
      </c>
      <c r="AT503" s="212">
        <f>[1]!LIM(AT502+Mode*r0*((1+IntegrationStep/2/Ti+Td/IntegrationStep)*AS503-(1-IntegrationStep/2/Ti+2*Td/IntegrationStep)*AS502+Td/IntegrationStep*AS501))</f>
        <v>0.40307869883299413</v>
      </c>
      <c r="AU503" s="212">
        <f t="shared" si="66"/>
        <v>40.794124671602574</v>
      </c>
      <c r="AW503" s="58"/>
      <c r="AX503" s="58"/>
      <c r="AY503" s="58"/>
      <c r="AZ503" s="58"/>
    </row>
    <row r="504" spans="1:52" s="185" customFormat="1" ht="15" customHeight="1" x14ac:dyDescent="0.25">
      <c r="A504" s="200"/>
      <c r="B504" s="211"/>
      <c r="C504" s="212">
        <f t="shared" si="67"/>
        <v>49.300000000000431</v>
      </c>
      <c r="D504" s="231">
        <f>15+[1]!STEPLOAD(5)</f>
        <v>20</v>
      </c>
      <c r="E504" s="212">
        <f t="shared" si="69"/>
        <v>40.794124752340281</v>
      </c>
      <c r="F504" s="212">
        <f t="shared" si="70"/>
        <v>0.5</v>
      </c>
      <c r="G504" s="212">
        <f>5</f>
        <v>5</v>
      </c>
      <c r="H504" s="212">
        <f t="shared" si="68"/>
        <v>48.369443883238041</v>
      </c>
      <c r="I504" s="212">
        <f t="shared" si="71"/>
        <v>0.9</v>
      </c>
      <c r="J504" s="212">
        <f>1</f>
        <v>1</v>
      </c>
      <c r="K504" s="212">
        <f t="shared" si="72"/>
        <v>4.1870000000000003</v>
      </c>
      <c r="L504" s="212"/>
      <c r="M504" s="212"/>
      <c r="N504" s="212"/>
      <c r="O504" s="212"/>
      <c r="P504" s="212"/>
      <c r="Q504" s="212"/>
      <c r="R504" s="212"/>
      <c r="S504" s="212"/>
      <c r="T504" s="212"/>
      <c r="U504" s="212"/>
      <c r="V504" s="212"/>
      <c r="W504" s="212"/>
      <c r="X504" s="212"/>
      <c r="Y504" s="212"/>
      <c r="Z504" s="212"/>
      <c r="AA504" s="212"/>
      <c r="AB504" s="212"/>
      <c r="AC504" s="196"/>
      <c r="AD504" s="27"/>
      <c r="AE504" s="213"/>
      <c r="AF504" s="212">
        <f t="shared" si="73"/>
        <v>-3.2200150101857616E-8</v>
      </c>
      <c r="AG504" s="212"/>
      <c r="AH504" s="212"/>
      <c r="AI504" s="212"/>
      <c r="AJ504" s="212"/>
      <c r="AK504" s="212"/>
      <c r="AL504" s="212"/>
      <c r="AM504" s="212"/>
      <c r="AN504" s="212"/>
      <c r="AO504" s="212"/>
      <c r="AP504" s="196"/>
      <c r="AQ504" s="196"/>
      <c r="AR504" s="211"/>
      <c r="AS504" s="212">
        <f t="shared" si="65"/>
        <v>-8.0737706298350532E-10</v>
      </c>
      <c r="AT504" s="212">
        <f>[1]!LIM(AT503+Mode*r0*((1+IntegrationStep/2/Ti+Td/IntegrationStep)*AS504-(1-IntegrationStep/2/Ti+2*Td/IntegrationStep)*AS503+Td/IntegrationStep*AS502))</f>
        <v>0.40307869902698368</v>
      </c>
      <c r="AU504" s="212">
        <f t="shared" si="66"/>
        <v>40.794124671602574</v>
      </c>
      <c r="AW504" s="58"/>
      <c r="AX504" s="58"/>
      <c r="AY504" s="58"/>
      <c r="AZ504" s="58"/>
    </row>
    <row r="505" spans="1:52" s="185" customFormat="1" ht="15" customHeight="1" x14ac:dyDescent="0.25">
      <c r="A505" s="200"/>
      <c r="B505" s="211"/>
      <c r="C505" s="212">
        <f t="shared" si="67"/>
        <v>49.400000000000432</v>
      </c>
      <c r="D505" s="231">
        <f>15+[1]!STEPLOAD(5)</f>
        <v>20</v>
      </c>
      <c r="E505" s="212">
        <f t="shared" si="69"/>
        <v>40.794124749120265</v>
      </c>
      <c r="F505" s="212">
        <f t="shared" si="70"/>
        <v>0.5</v>
      </c>
      <c r="G505" s="212">
        <f>5</f>
        <v>5</v>
      </c>
      <c r="H505" s="212">
        <f t="shared" si="68"/>
        <v>48.36944390559087</v>
      </c>
      <c r="I505" s="212">
        <f t="shared" si="71"/>
        <v>0.9</v>
      </c>
      <c r="J505" s="212">
        <f>1</f>
        <v>1</v>
      </c>
      <c r="K505" s="212">
        <f t="shared" si="72"/>
        <v>4.1870000000000003</v>
      </c>
      <c r="L505" s="212"/>
      <c r="M505" s="212"/>
      <c r="N505" s="212"/>
      <c r="O505" s="212"/>
      <c r="P505" s="212"/>
      <c r="Q505" s="212"/>
      <c r="R505" s="212"/>
      <c r="S505" s="212"/>
      <c r="T505" s="212"/>
      <c r="U505" s="212"/>
      <c r="V505" s="212"/>
      <c r="W505" s="212"/>
      <c r="X505" s="212"/>
      <c r="Y505" s="212"/>
      <c r="Z505" s="212"/>
      <c r="AA505" s="212"/>
      <c r="AB505" s="212"/>
      <c r="AC505" s="196"/>
      <c r="AD505" s="27"/>
      <c r="AE505" s="213"/>
      <c r="AF505" s="212">
        <f t="shared" si="73"/>
        <v>-3.0917195914526019E-8</v>
      </c>
      <c r="AG505" s="212"/>
      <c r="AH505" s="212"/>
      <c r="AI505" s="212"/>
      <c r="AJ505" s="212"/>
      <c r="AK505" s="212"/>
      <c r="AL505" s="212"/>
      <c r="AM505" s="212"/>
      <c r="AN505" s="212"/>
      <c r="AO505" s="212"/>
      <c r="AP505" s="196"/>
      <c r="AQ505" s="196"/>
      <c r="AR505" s="211"/>
      <c r="AS505" s="212">
        <f t="shared" si="65"/>
        <v>-7.751769004471498E-10</v>
      </c>
      <c r="AT505" s="212">
        <f>[1]!LIM(AT504+Mode*r0*((1+IntegrationStep/2/Ti+Td/IntegrationStep)*AS505-(1-IntegrationStep/2/Ti+2*Td/IntegrationStep)*AS504+Td/IntegrationStep*AS503))</f>
        <v>0.40307869921325723</v>
      </c>
      <c r="AU505" s="212">
        <f t="shared" si="66"/>
        <v>40.794124671602574</v>
      </c>
      <c r="AW505" s="58"/>
      <c r="AX505" s="58"/>
      <c r="AY505" s="58"/>
      <c r="AZ505" s="58"/>
    </row>
    <row r="506" spans="1:52" s="185" customFormat="1" ht="15" customHeight="1" x14ac:dyDescent="0.25">
      <c r="A506" s="200"/>
      <c r="B506" s="211"/>
      <c r="C506" s="212">
        <f t="shared" si="67"/>
        <v>49.500000000000433</v>
      </c>
      <c r="D506" s="231">
        <f>15+[1]!STEPLOAD(5)</f>
        <v>20</v>
      </c>
      <c r="E506" s="212">
        <f t="shared" si="69"/>
        <v>40.794124746028544</v>
      </c>
      <c r="F506" s="212">
        <f t="shared" si="70"/>
        <v>0.5</v>
      </c>
      <c r="G506" s="212">
        <f>5</f>
        <v>5</v>
      </c>
      <c r="H506" s="212">
        <f t="shared" si="68"/>
        <v>48.369443927054519</v>
      </c>
      <c r="I506" s="212">
        <f t="shared" si="71"/>
        <v>0.9</v>
      </c>
      <c r="J506" s="212">
        <f>1</f>
        <v>1</v>
      </c>
      <c r="K506" s="212">
        <f t="shared" si="72"/>
        <v>4.1870000000000003</v>
      </c>
      <c r="L506" s="212"/>
      <c r="M506" s="212"/>
      <c r="N506" s="212"/>
      <c r="O506" s="212"/>
      <c r="P506" s="212"/>
      <c r="Q506" s="212"/>
      <c r="R506" s="212"/>
      <c r="S506" s="212"/>
      <c r="T506" s="212"/>
      <c r="U506" s="212"/>
      <c r="V506" s="212"/>
      <c r="W506" s="212"/>
      <c r="X506" s="212"/>
      <c r="Y506" s="212"/>
      <c r="Z506" s="212"/>
      <c r="AA506" s="212"/>
      <c r="AB506" s="212"/>
      <c r="AC506" s="196"/>
      <c r="AD506" s="27"/>
      <c r="AE506" s="213"/>
      <c r="AF506" s="212">
        <f t="shared" si="73"/>
        <v>-2.9685296887294044E-8</v>
      </c>
      <c r="AG506" s="212"/>
      <c r="AH506" s="212"/>
      <c r="AI506" s="212"/>
      <c r="AJ506" s="212"/>
      <c r="AK506" s="212"/>
      <c r="AL506" s="212"/>
      <c r="AM506" s="212"/>
      <c r="AN506" s="212"/>
      <c r="AO506" s="212"/>
      <c r="AP506" s="196"/>
      <c r="AQ506" s="196"/>
      <c r="AR506" s="211"/>
      <c r="AS506" s="212">
        <f t="shared" si="65"/>
        <v>-7.442596938744828E-10</v>
      </c>
      <c r="AT506" s="212">
        <f>[1]!LIM(AT505+Mode*r0*((1+IntegrationStep/2/Ti+Td/IntegrationStep)*AS506-(1-IntegrationStep/2/Ti+2*Td/IntegrationStep)*AS505+Td/IntegrationStep*AS504))</f>
        <v>0.40307869939212099</v>
      </c>
      <c r="AU506" s="212">
        <f t="shared" si="66"/>
        <v>40.794124671602574</v>
      </c>
      <c r="AW506" s="58"/>
      <c r="AX506" s="58"/>
      <c r="AY506" s="58"/>
      <c r="AZ506" s="58"/>
    </row>
    <row r="507" spans="1:52" s="185" customFormat="1" ht="15" customHeight="1" x14ac:dyDescent="0.25">
      <c r="A507" s="200"/>
      <c r="B507" s="211"/>
      <c r="C507" s="212">
        <f t="shared" si="67"/>
        <v>49.600000000000435</v>
      </c>
      <c r="D507" s="231">
        <f>15+[1]!STEPLOAD(5)</f>
        <v>20</v>
      </c>
      <c r="E507" s="212">
        <f t="shared" si="69"/>
        <v>40.794124743060017</v>
      </c>
      <c r="F507" s="212">
        <f t="shared" si="70"/>
        <v>0.5</v>
      </c>
      <c r="G507" s="212">
        <f>5</f>
        <v>5</v>
      </c>
      <c r="H507" s="212">
        <f t="shared" si="68"/>
        <v>48.36944394766423</v>
      </c>
      <c r="I507" s="212">
        <f t="shared" si="71"/>
        <v>0.9</v>
      </c>
      <c r="J507" s="212">
        <f>1</f>
        <v>1</v>
      </c>
      <c r="K507" s="212">
        <f t="shared" si="72"/>
        <v>4.1870000000000003</v>
      </c>
      <c r="L507" s="212"/>
      <c r="M507" s="212"/>
      <c r="N507" s="212"/>
      <c r="O507" s="212"/>
      <c r="P507" s="212"/>
      <c r="Q507" s="212"/>
      <c r="R507" s="212"/>
      <c r="S507" s="212"/>
      <c r="T507" s="212"/>
      <c r="U507" s="212"/>
      <c r="V507" s="212"/>
      <c r="W507" s="212"/>
      <c r="X507" s="212"/>
      <c r="Y507" s="212"/>
      <c r="Z507" s="212"/>
      <c r="AA507" s="212"/>
      <c r="AB507" s="212"/>
      <c r="AC507" s="196"/>
      <c r="AD507" s="27"/>
      <c r="AE507" s="213"/>
      <c r="AF507" s="212">
        <f t="shared" si="73"/>
        <v>-2.8502427973364775E-8</v>
      </c>
      <c r="AG507" s="212"/>
      <c r="AH507" s="212"/>
      <c r="AI507" s="212"/>
      <c r="AJ507" s="212"/>
      <c r="AK507" s="212"/>
      <c r="AL507" s="212"/>
      <c r="AM507" s="212"/>
      <c r="AN507" s="212"/>
      <c r="AO507" s="212"/>
      <c r="AP507" s="196"/>
      <c r="AQ507" s="196"/>
      <c r="AR507" s="211"/>
      <c r="AS507" s="212">
        <f t="shared" si="65"/>
        <v>-7.145744262970766E-10</v>
      </c>
      <c r="AT507" s="212">
        <f>[1]!LIM(AT506+Mode*r0*((1+IntegrationStep/2/Ti+Td/IntegrationStep)*AS507-(1-IntegrationStep/2/Ti+2*Td/IntegrationStep)*AS506+Td/IntegrationStep*AS505))</f>
        <v>0.4030786995638686</v>
      </c>
      <c r="AU507" s="212">
        <f t="shared" si="66"/>
        <v>40.794124671602574</v>
      </c>
      <c r="AW507" s="58"/>
      <c r="AX507" s="58"/>
      <c r="AY507" s="58"/>
      <c r="AZ507" s="58"/>
    </row>
    <row r="508" spans="1:52" s="185" customFormat="1" ht="15" customHeight="1" x14ac:dyDescent="0.25">
      <c r="A508" s="200"/>
      <c r="B508" s="211"/>
      <c r="C508" s="212">
        <f t="shared" si="67"/>
        <v>49.700000000000436</v>
      </c>
      <c r="D508" s="231">
        <f>15+[1]!STEPLOAD(5)</f>
        <v>20</v>
      </c>
      <c r="E508" s="212">
        <f t="shared" si="69"/>
        <v>40.794124740209774</v>
      </c>
      <c r="F508" s="212">
        <f t="shared" si="70"/>
        <v>0.5</v>
      </c>
      <c r="G508" s="212">
        <f>5</f>
        <v>5</v>
      </c>
      <c r="H508" s="212">
        <f t="shared" si="68"/>
        <v>48.369443967454053</v>
      </c>
      <c r="I508" s="212">
        <f t="shared" si="71"/>
        <v>0.9</v>
      </c>
      <c r="J508" s="212">
        <f>1</f>
        <v>1</v>
      </c>
      <c r="K508" s="212">
        <f t="shared" si="72"/>
        <v>4.1870000000000003</v>
      </c>
      <c r="L508" s="212"/>
      <c r="M508" s="212"/>
      <c r="N508" s="212"/>
      <c r="O508" s="212"/>
      <c r="P508" s="212"/>
      <c r="Q508" s="212"/>
      <c r="R508" s="212"/>
      <c r="S508" s="212"/>
      <c r="T508" s="212"/>
      <c r="U508" s="212"/>
      <c r="V508" s="212"/>
      <c r="W508" s="212"/>
      <c r="X508" s="212"/>
      <c r="Y508" s="212"/>
      <c r="Z508" s="212"/>
      <c r="AA508" s="212"/>
      <c r="AB508" s="212"/>
      <c r="AC508" s="196"/>
      <c r="AD508" s="27"/>
      <c r="AE508" s="213"/>
      <c r="AF508" s="212">
        <f t="shared" si="73"/>
        <v>-2.7366635624304081E-8</v>
      </c>
      <c r="AG508" s="212"/>
      <c r="AH508" s="212"/>
      <c r="AI508" s="212"/>
      <c r="AJ508" s="212"/>
      <c r="AK508" s="212"/>
      <c r="AL508" s="212"/>
      <c r="AM508" s="212"/>
      <c r="AN508" s="212"/>
      <c r="AO508" s="212"/>
      <c r="AP508" s="196"/>
      <c r="AQ508" s="196"/>
      <c r="AR508" s="211"/>
      <c r="AS508" s="212">
        <f t="shared" si="65"/>
        <v>-6.8607199921189024E-10</v>
      </c>
      <c r="AT508" s="212">
        <f>[1]!LIM(AT507+Mode*r0*((1+IntegrationStep/2/Ti+Td/IntegrationStep)*AS508-(1-IntegrationStep/2/Ti+2*Td/IntegrationStep)*AS507+Td/IntegrationStep*AS506))</f>
        <v>0.4030786997287838</v>
      </c>
      <c r="AU508" s="212">
        <f t="shared" si="66"/>
        <v>40.794124671602574</v>
      </c>
      <c r="AW508" s="58"/>
      <c r="AX508" s="58"/>
      <c r="AY508" s="58"/>
      <c r="AZ508" s="58"/>
    </row>
    <row r="509" spans="1:52" s="185" customFormat="1" ht="15" customHeight="1" x14ac:dyDescent="0.25">
      <c r="A509" s="200"/>
      <c r="B509" s="211"/>
      <c r="C509" s="212">
        <f t="shared" si="67"/>
        <v>49.800000000000438</v>
      </c>
      <c r="D509" s="231">
        <f>15+[1]!STEPLOAD(5)</f>
        <v>20</v>
      </c>
      <c r="E509" s="212">
        <f t="shared" si="69"/>
        <v>40.794124737473112</v>
      </c>
      <c r="F509" s="212">
        <f t="shared" si="70"/>
        <v>0.5</v>
      </c>
      <c r="G509" s="212">
        <f>5</f>
        <v>5</v>
      </c>
      <c r="H509" s="212">
        <f t="shared" si="68"/>
        <v>48.369443986456488</v>
      </c>
      <c r="I509" s="212">
        <f t="shared" si="71"/>
        <v>0.9</v>
      </c>
      <c r="J509" s="212">
        <f>1</f>
        <v>1</v>
      </c>
      <c r="K509" s="212">
        <f t="shared" si="72"/>
        <v>4.1870000000000003</v>
      </c>
      <c r="L509" s="212"/>
      <c r="M509" s="212"/>
      <c r="N509" s="212"/>
      <c r="O509" s="212"/>
      <c r="P509" s="212"/>
      <c r="Q509" s="212"/>
      <c r="R509" s="212"/>
      <c r="S509" s="212"/>
      <c r="T509" s="212"/>
      <c r="U509" s="212"/>
      <c r="V509" s="212"/>
      <c r="W509" s="212"/>
      <c r="X509" s="212"/>
      <c r="Y509" s="212"/>
      <c r="Z509" s="212"/>
      <c r="AA509" s="212"/>
      <c r="AB509" s="212"/>
      <c r="AC509" s="196"/>
      <c r="AD509" s="27"/>
      <c r="AE509" s="213"/>
      <c r="AF509" s="212">
        <f t="shared" si="73"/>
        <v>-2.6276050668627704E-8</v>
      </c>
      <c r="AG509" s="212"/>
      <c r="AH509" s="212"/>
      <c r="AI509" s="212"/>
      <c r="AJ509" s="212"/>
      <c r="AK509" s="212"/>
      <c r="AL509" s="212"/>
      <c r="AM509" s="212"/>
      <c r="AN509" s="212"/>
      <c r="AO509" s="212"/>
      <c r="AP509" s="196"/>
      <c r="AQ509" s="196"/>
      <c r="AR509" s="211"/>
      <c r="AS509" s="212">
        <f t="shared" si="65"/>
        <v>-6.5870537468981634E-10</v>
      </c>
      <c r="AT509" s="212">
        <f>[1]!LIM(AT508+Mode*r0*((1+IntegrationStep/2/Ti+Td/IntegrationStep)*AS509-(1-IntegrationStep/2/Ti+2*Td/IntegrationStep)*AS508+Td/IntegrationStep*AS507))</f>
        <v>0.4030786998871374</v>
      </c>
      <c r="AU509" s="212">
        <f t="shared" si="66"/>
        <v>40.794124671602574</v>
      </c>
      <c r="AW509" s="58"/>
      <c r="AX509" s="58"/>
      <c r="AY509" s="58"/>
      <c r="AZ509" s="58"/>
    </row>
    <row r="510" spans="1:52" s="185" customFormat="1" ht="15" customHeight="1" x14ac:dyDescent="0.25">
      <c r="A510" s="200"/>
      <c r="B510" s="211"/>
      <c r="C510" s="212">
        <f t="shared" si="67"/>
        <v>49.900000000000439</v>
      </c>
      <c r="D510" s="231">
        <f>15+[1]!STEPLOAD(5)</f>
        <v>20</v>
      </c>
      <c r="E510" s="212">
        <f t="shared" si="69"/>
        <v>40.794124734845504</v>
      </c>
      <c r="F510" s="212">
        <f t="shared" si="70"/>
        <v>0.5</v>
      </c>
      <c r="G510" s="212">
        <f>5</f>
        <v>5</v>
      </c>
      <c r="H510" s="212">
        <f t="shared" si="68"/>
        <v>48.369444004702906</v>
      </c>
      <c r="I510" s="212">
        <f t="shared" si="71"/>
        <v>0.9</v>
      </c>
      <c r="J510" s="212">
        <f>1</f>
        <v>1</v>
      </c>
      <c r="K510" s="212">
        <f t="shared" si="72"/>
        <v>4.1870000000000003</v>
      </c>
      <c r="L510" s="212"/>
      <c r="M510" s="212"/>
      <c r="N510" s="212"/>
      <c r="O510" s="212"/>
      <c r="P510" s="212"/>
      <c r="Q510" s="212"/>
      <c r="R510" s="212"/>
      <c r="S510" s="212"/>
      <c r="T510" s="212"/>
      <c r="U510" s="212"/>
      <c r="V510" s="212"/>
      <c r="W510" s="212"/>
      <c r="X510" s="212"/>
      <c r="Y510" s="212"/>
      <c r="Z510" s="212"/>
      <c r="AA510" s="212"/>
      <c r="AB510" s="212"/>
      <c r="AC510" s="196"/>
      <c r="AD510" s="27"/>
      <c r="AE510" s="213"/>
      <c r="AF510" s="212">
        <f t="shared" si="73"/>
        <v>-2.5228872324589702E-8</v>
      </c>
      <c r="AG510" s="212"/>
      <c r="AH510" s="212"/>
      <c r="AI510" s="212"/>
      <c r="AJ510" s="212"/>
      <c r="AK510" s="212"/>
      <c r="AL510" s="212"/>
      <c r="AM510" s="212"/>
      <c r="AN510" s="212"/>
      <c r="AO510" s="212"/>
      <c r="AP510" s="196"/>
      <c r="AQ510" s="196"/>
      <c r="AR510" s="211"/>
      <c r="AS510" s="212">
        <f t="shared" si="65"/>
        <v>-6.3242929115858711E-10</v>
      </c>
      <c r="AT510" s="212">
        <f>[1]!LIM(AT509+Mode*r0*((1+IntegrationStep/2/Ti+Td/IntegrationStep)*AS510-(1-IntegrationStep/2/Ti+2*Td/IntegrationStep)*AS509+Td/IntegrationStep*AS508))</f>
        <v>0.40307870003919088</v>
      </c>
      <c r="AU510" s="212">
        <f t="shared" si="66"/>
        <v>40.794124671602574</v>
      </c>
      <c r="AW510" s="58"/>
      <c r="AX510" s="58"/>
      <c r="AY510" s="58"/>
      <c r="AZ510" s="58"/>
    </row>
    <row r="511" spans="1:52" s="185" customFormat="1" ht="15" customHeight="1" x14ac:dyDescent="0.25">
      <c r="A511" s="200"/>
      <c r="B511" s="211"/>
      <c r="C511" s="212">
        <f t="shared" si="67"/>
        <v>50.000000000000441</v>
      </c>
      <c r="D511" s="231">
        <f>15+[1]!STEPLOAD(5)</f>
        <v>20</v>
      </c>
      <c r="E511" s="212">
        <f t="shared" si="69"/>
        <v>40.794124732322615</v>
      </c>
      <c r="F511" s="212">
        <f t="shared" si="70"/>
        <v>0.5</v>
      </c>
      <c r="G511" s="212">
        <f>5</f>
        <v>5</v>
      </c>
      <c r="H511" s="212">
        <f t="shared" si="68"/>
        <v>48.369444022223234</v>
      </c>
      <c r="I511" s="212">
        <f t="shared" si="71"/>
        <v>0.9</v>
      </c>
      <c r="J511" s="212">
        <f>1</f>
        <v>1</v>
      </c>
      <c r="K511" s="212">
        <f t="shared" si="72"/>
        <v>4.1870000000000003</v>
      </c>
      <c r="L511" s="212"/>
      <c r="M511" s="212"/>
      <c r="N511" s="212"/>
      <c r="O511" s="212"/>
      <c r="P511" s="212"/>
      <c r="Q511" s="212"/>
      <c r="R511" s="212"/>
      <c r="S511" s="212"/>
      <c r="T511" s="212"/>
      <c r="U511" s="212"/>
      <c r="V511" s="212"/>
      <c r="W511" s="212"/>
      <c r="X511" s="212"/>
      <c r="Y511" s="212"/>
      <c r="Z511" s="212"/>
      <c r="AA511" s="212"/>
      <c r="AB511" s="212"/>
      <c r="AC511" s="196"/>
      <c r="AD511" s="27"/>
      <c r="AE511" s="213"/>
      <c r="AF511" s="212">
        <f t="shared" si="73"/>
        <v>-2.4223381078769535E-8</v>
      </c>
      <c r="AG511" s="212"/>
      <c r="AH511" s="212"/>
      <c r="AI511" s="212"/>
      <c r="AJ511" s="212"/>
      <c r="AK511" s="212"/>
      <c r="AL511" s="212"/>
      <c r="AM511" s="212"/>
      <c r="AN511" s="212"/>
      <c r="AO511" s="212"/>
      <c r="AP511" s="196"/>
      <c r="AQ511" s="196"/>
      <c r="AR511" s="211"/>
      <c r="AS511" s="212">
        <f t="shared" si="65"/>
        <v>-6.0720040551132115E-10</v>
      </c>
      <c r="AT511" s="212">
        <f>[1]!LIM(AT510+Mode*r0*((1+IntegrationStep/2/Ti+Td/IntegrationStep)*AS511-(1-IntegrationStep/2/Ti+2*Td/IntegrationStep)*AS510+Td/IntegrationStep*AS509))</f>
        <v>0.40307870018519359</v>
      </c>
      <c r="AU511" s="212">
        <f t="shared" si="66"/>
        <v>40.794124671602574</v>
      </c>
      <c r="AW511" s="58"/>
      <c r="AX511" s="58"/>
      <c r="AY511" s="58"/>
      <c r="AZ511" s="58"/>
    </row>
    <row r="512" spans="1:52" s="185" customFormat="1" ht="15" customHeight="1" x14ac:dyDescent="0.25">
      <c r="A512" s="200"/>
      <c r="B512" s="211"/>
      <c r="C512" s="212">
        <f t="shared" si="67"/>
        <v>50.100000000000442</v>
      </c>
      <c r="D512" s="231">
        <f>15+[1]!STEPLOAD(5)</f>
        <v>20</v>
      </c>
      <c r="E512" s="212">
        <f t="shared" si="69"/>
        <v>40.794124729900275</v>
      </c>
      <c r="F512" s="212">
        <f t="shared" si="70"/>
        <v>0.5</v>
      </c>
      <c r="G512" s="212">
        <f>5</f>
        <v>5</v>
      </c>
      <c r="H512" s="212">
        <f t="shared" si="68"/>
        <v>48.369444039046357</v>
      </c>
      <c r="I512" s="212">
        <f t="shared" si="71"/>
        <v>0.9</v>
      </c>
      <c r="J512" s="212">
        <f>1</f>
        <v>1</v>
      </c>
      <c r="K512" s="212">
        <f t="shared" si="72"/>
        <v>4.1870000000000003</v>
      </c>
      <c r="L512" s="212"/>
      <c r="M512" s="212"/>
      <c r="N512" s="212"/>
      <c r="O512" s="212"/>
      <c r="P512" s="212"/>
      <c r="Q512" s="212"/>
      <c r="R512" s="212"/>
      <c r="S512" s="212"/>
      <c r="T512" s="212"/>
      <c r="U512" s="212"/>
      <c r="V512" s="212"/>
      <c r="W512" s="212"/>
      <c r="X512" s="212"/>
      <c r="Y512" s="212"/>
      <c r="Z512" s="212"/>
      <c r="AA512" s="212"/>
      <c r="AB512" s="212"/>
      <c r="AC512" s="196"/>
      <c r="AD512" s="27"/>
      <c r="AE512" s="213"/>
      <c r="AF512" s="212">
        <f t="shared" si="73"/>
        <v>-2.3257917813879203E-8</v>
      </c>
      <c r="AG512" s="212"/>
      <c r="AH512" s="212"/>
      <c r="AI512" s="212"/>
      <c r="AJ512" s="212"/>
      <c r="AK512" s="212"/>
      <c r="AL512" s="212"/>
      <c r="AM512" s="212"/>
      <c r="AN512" s="212"/>
      <c r="AO512" s="212"/>
      <c r="AP512" s="196"/>
      <c r="AQ512" s="196"/>
      <c r="AR512" s="211"/>
      <c r="AS512" s="212">
        <f t="shared" si="65"/>
        <v>-5.8297700888942928E-10</v>
      </c>
      <c r="AT512" s="212">
        <f>[1]!LIM(AT511+Mode*r0*((1+IntegrationStep/2/Ti+Td/IntegrationStep)*AS512-(1-IntegrationStep/2/Ti+2*Td/IntegrationStep)*AS511+Td/IntegrationStep*AS510))</f>
        <v>0.40307870032538629</v>
      </c>
      <c r="AU512" s="212">
        <f t="shared" si="66"/>
        <v>40.794124671602574</v>
      </c>
      <c r="AW512" s="58"/>
      <c r="AX512" s="58"/>
      <c r="AY512" s="58"/>
      <c r="AZ512" s="58"/>
    </row>
    <row r="513" spans="1:52" s="185" customFormat="1" ht="15" customHeight="1" x14ac:dyDescent="0.25">
      <c r="A513" s="200"/>
      <c r="B513" s="211"/>
      <c r="C513" s="212">
        <f t="shared" si="67"/>
        <v>50.200000000000443</v>
      </c>
      <c r="D513" s="231">
        <f>15+[1]!STEPLOAD(5)</f>
        <v>20</v>
      </c>
      <c r="E513" s="212">
        <f t="shared" si="69"/>
        <v>40.794124727574484</v>
      </c>
      <c r="F513" s="212">
        <f t="shared" si="70"/>
        <v>0.5</v>
      </c>
      <c r="G513" s="212">
        <f>5</f>
        <v>5</v>
      </c>
      <c r="H513" s="212">
        <f t="shared" si="68"/>
        <v>48.369444055199935</v>
      </c>
      <c r="I513" s="212">
        <f t="shared" si="71"/>
        <v>0.9</v>
      </c>
      <c r="J513" s="212">
        <f>1</f>
        <v>1</v>
      </c>
      <c r="K513" s="212">
        <f t="shared" si="72"/>
        <v>4.1870000000000003</v>
      </c>
      <c r="L513" s="212"/>
      <c r="M513" s="212"/>
      <c r="N513" s="212"/>
      <c r="O513" s="212"/>
      <c r="P513" s="212"/>
      <c r="Q513" s="212"/>
      <c r="R513" s="212"/>
      <c r="S513" s="212"/>
      <c r="T513" s="212"/>
      <c r="U513" s="212"/>
      <c r="V513" s="212"/>
      <c r="W513" s="212"/>
      <c r="X513" s="212"/>
      <c r="Y513" s="212"/>
      <c r="Z513" s="212"/>
      <c r="AA513" s="212"/>
      <c r="AB513" s="212"/>
      <c r="AC513" s="196"/>
      <c r="AD513" s="27"/>
      <c r="AE513" s="213"/>
      <c r="AF513" s="212">
        <f t="shared" si="73"/>
        <v>-2.2330892690547444E-8</v>
      </c>
      <c r="AG513" s="212"/>
      <c r="AH513" s="212"/>
      <c r="AI513" s="212"/>
      <c r="AJ513" s="212"/>
      <c r="AK513" s="212"/>
      <c r="AL513" s="212"/>
      <c r="AM513" s="212"/>
      <c r="AN513" s="212"/>
      <c r="AO513" s="212"/>
      <c r="AP513" s="196"/>
      <c r="AQ513" s="196"/>
      <c r="AR513" s="211"/>
      <c r="AS513" s="212">
        <f t="shared" si="65"/>
        <v>-5.5971909773688826E-10</v>
      </c>
      <c r="AT513" s="212">
        <f>[1]!LIM(AT512+Mode*r0*((1+IntegrationStep/2/Ti+Td/IntegrationStep)*AS513-(1-IntegrationStep/2/Ti+2*Td/IntegrationStep)*AS512+Td/IntegrationStep*AS511))</f>
        <v>0.40307870045999944</v>
      </c>
      <c r="AU513" s="212">
        <f t="shared" si="66"/>
        <v>40.794124671602574</v>
      </c>
      <c r="AW513" s="58"/>
      <c r="AX513" s="58"/>
      <c r="AY513" s="58"/>
      <c r="AZ513" s="58"/>
    </row>
    <row r="514" spans="1:52" s="185" customFormat="1" ht="15" customHeight="1" x14ac:dyDescent="0.25">
      <c r="A514" s="200"/>
      <c r="B514" s="211"/>
      <c r="C514" s="212">
        <f t="shared" si="67"/>
        <v>50.300000000000445</v>
      </c>
      <c r="D514" s="231">
        <f>15+[1]!STEPLOAD(5)</f>
        <v>20</v>
      </c>
      <c r="E514" s="212">
        <f t="shared" si="69"/>
        <v>40.794124725341398</v>
      </c>
      <c r="F514" s="212">
        <f t="shared" si="70"/>
        <v>0.5</v>
      </c>
      <c r="G514" s="212">
        <f>5</f>
        <v>5</v>
      </c>
      <c r="H514" s="212">
        <f t="shared" si="68"/>
        <v>48.369444070710578</v>
      </c>
      <c r="I514" s="212">
        <f t="shared" si="71"/>
        <v>0.9</v>
      </c>
      <c r="J514" s="212">
        <f>1</f>
        <v>1</v>
      </c>
      <c r="K514" s="212">
        <f t="shared" si="72"/>
        <v>4.1870000000000003</v>
      </c>
      <c r="L514" s="212"/>
      <c r="M514" s="212"/>
      <c r="N514" s="212"/>
      <c r="O514" s="212"/>
      <c r="P514" s="212"/>
      <c r="Q514" s="212"/>
      <c r="R514" s="212"/>
      <c r="S514" s="212"/>
      <c r="T514" s="212"/>
      <c r="U514" s="212"/>
      <c r="V514" s="212"/>
      <c r="W514" s="212"/>
      <c r="X514" s="212"/>
      <c r="Y514" s="212"/>
      <c r="Z514" s="212"/>
      <c r="AA514" s="212"/>
      <c r="AB514" s="212"/>
      <c r="AC514" s="196"/>
      <c r="AD514" s="27"/>
      <c r="AE514" s="213"/>
      <c r="AF514" s="212">
        <f t="shared" si="73"/>
        <v>-2.1440778485981582E-8</v>
      </c>
      <c r="AG514" s="212"/>
      <c r="AH514" s="212"/>
      <c r="AI514" s="212"/>
      <c r="AJ514" s="212"/>
      <c r="AK514" s="212"/>
      <c r="AL514" s="212"/>
      <c r="AM514" s="212"/>
      <c r="AN514" s="212"/>
      <c r="AO514" s="212"/>
      <c r="AP514" s="196"/>
      <c r="AQ514" s="196"/>
      <c r="AR514" s="211"/>
      <c r="AS514" s="212">
        <f t="shared" si="65"/>
        <v>-5.3738823169169335E-10</v>
      </c>
      <c r="AT514" s="212">
        <f>[1]!LIM(AT513+Mode*r0*((1+IntegrationStep/2/Ti+Td/IntegrationStep)*AS514-(1-IntegrationStep/2/Ti+2*Td/IntegrationStep)*AS513+Td/IntegrationStep*AS512))</f>
        <v>0.40307870058925482</v>
      </c>
      <c r="AU514" s="212">
        <f t="shared" si="66"/>
        <v>40.794124671602574</v>
      </c>
      <c r="AW514" s="58"/>
      <c r="AX514" s="58"/>
      <c r="AY514" s="58"/>
      <c r="AZ514" s="58"/>
    </row>
    <row r="515" spans="1:52" s="185" customFormat="1" ht="15" customHeight="1" x14ac:dyDescent="0.25">
      <c r="A515" s="200"/>
      <c r="B515" s="211"/>
      <c r="C515" s="212">
        <f t="shared" si="67"/>
        <v>50.400000000000446</v>
      </c>
      <c r="D515" s="231">
        <f>15+[1]!STEPLOAD(5)</f>
        <v>20</v>
      </c>
      <c r="E515" s="212">
        <f t="shared" si="69"/>
        <v>40.794124723197321</v>
      </c>
      <c r="F515" s="212">
        <f t="shared" si="70"/>
        <v>0.5</v>
      </c>
      <c r="G515" s="212">
        <f>5</f>
        <v>5</v>
      </c>
      <c r="H515" s="212">
        <f t="shared" si="68"/>
        <v>48.369444085603909</v>
      </c>
      <c r="I515" s="212">
        <f t="shared" si="71"/>
        <v>0.9</v>
      </c>
      <c r="J515" s="212">
        <f>1</f>
        <v>1</v>
      </c>
      <c r="K515" s="212">
        <f t="shared" si="72"/>
        <v>4.1870000000000003</v>
      </c>
      <c r="L515" s="212"/>
      <c r="M515" s="212"/>
      <c r="N515" s="212"/>
      <c r="O515" s="212"/>
      <c r="P515" s="212"/>
      <c r="Q515" s="212"/>
      <c r="R515" s="212"/>
      <c r="S515" s="212"/>
      <c r="T515" s="212"/>
      <c r="U515" s="212"/>
      <c r="V515" s="212"/>
      <c r="W515" s="212"/>
      <c r="X515" s="212"/>
      <c r="Y515" s="212"/>
      <c r="Z515" s="212"/>
      <c r="AA515" s="212"/>
      <c r="AB515" s="212"/>
      <c r="AC515" s="196"/>
      <c r="AD515" s="27"/>
      <c r="AE515" s="213"/>
      <c r="AF515" s="212">
        <f t="shared" si="73"/>
        <v>-2.0586103488540175E-8</v>
      </c>
      <c r="AG515" s="212"/>
      <c r="AH515" s="212"/>
      <c r="AI515" s="212"/>
      <c r="AJ515" s="212"/>
      <c r="AK515" s="212"/>
      <c r="AL515" s="212"/>
      <c r="AM515" s="212"/>
      <c r="AN515" s="212"/>
      <c r="AO515" s="212"/>
      <c r="AP515" s="196"/>
      <c r="AQ515" s="196"/>
      <c r="AR515" s="211"/>
      <c r="AS515" s="212">
        <f t="shared" si="65"/>
        <v>-5.1594746253158515E-10</v>
      </c>
      <c r="AT515" s="212">
        <f>[1]!LIM(AT514+Mode*r0*((1+IntegrationStep/2/Ti+Td/IntegrationStep)*AS515-(1-IntegrationStep/2/Ti+2*Td/IntegrationStep)*AS514+Td/IntegrationStep*AS513))</f>
        <v>0.40307870071336593</v>
      </c>
      <c r="AU515" s="212">
        <f t="shared" si="66"/>
        <v>40.794124671602574</v>
      </c>
      <c r="AW515" s="58"/>
      <c r="AX515" s="58"/>
      <c r="AY515" s="58"/>
      <c r="AZ515" s="58"/>
    </row>
    <row r="516" spans="1:52" s="185" customFormat="1" ht="15" customHeight="1" x14ac:dyDescent="0.25">
      <c r="A516" s="200"/>
      <c r="B516" s="211"/>
      <c r="C516" s="212">
        <f t="shared" si="67"/>
        <v>50.500000000000448</v>
      </c>
      <c r="D516" s="231">
        <f>15+[1]!STEPLOAD(5)</f>
        <v>20</v>
      </c>
      <c r="E516" s="212">
        <f t="shared" si="69"/>
        <v>40.794124721138708</v>
      </c>
      <c r="F516" s="212">
        <f t="shared" si="70"/>
        <v>0.5</v>
      </c>
      <c r="G516" s="212">
        <f>5</f>
        <v>5</v>
      </c>
      <c r="H516" s="212">
        <f t="shared" si="68"/>
        <v>48.369444099904491</v>
      </c>
      <c r="I516" s="212">
        <f t="shared" si="71"/>
        <v>0.9</v>
      </c>
      <c r="J516" s="212">
        <f>1</f>
        <v>1</v>
      </c>
      <c r="K516" s="212">
        <f t="shared" si="72"/>
        <v>4.1870000000000003</v>
      </c>
      <c r="L516" s="212"/>
      <c r="M516" s="212"/>
      <c r="N516" s="212"/>
      <c r="O516" s="212"/>
      <c r="P516" s="212"/>
      <c r="Q516" s="212"/>
      <c r="R516" s="212"/>
      <c r="S516" s="212"/>
      <c r="T516" s="212"/>
      <c r="U516" s="212"/>
      <c r="V516" s="212"/>
      <c r="W516" s="212"/>
      <c r="X516" s="212"/>
      <c r="Y516" s="212"/>
      <c r="Z516" s="212"/>
      <c r="AA516" s="212"/>
      <c r="AB516" s="212"/>
      <c r="AC516" s="196"/>
      <c r="AD516" s="27"/>
      <c r="AE516" s="213"/>
      <c r="AF516" s="212">
        <f t="shared" si="73"/>
        <v>-1.9765456826803529E-8</v>
      </c>
      <c r="AG516" s="212"/>
      <c r="AH516" s="212"/>
      <c r="AI516" s="212"/>
      <c r="AJ516" s="212"/>
      <c r="AK516" s="212"/>
      <c r="AL516" s="212"/>
      <c r="AM516" s="212"/>
      <c r="AN516" s="212"/>
      <c r="AO516" s="212"/>
      <c r="AP516" s="196"/>
      <c r="AQ516" s="196"/>
      <c r="AR516" s="211"/>
      <c r="AS516" s="212">
        <f t="shared" si="65"/>
        <v>-4.9536133417404929E-10</v>
      </c>
      <c r="AT516" s="212">
        <f>[1]!LIM(AT515+Mode*r0*((1+IntegrationStep/2/Ti+Td/IntegrationStep)*AS516-(1-IntegrationStep/2/Ti+2*Td/IntegrationStep)*AS515+Td/IntegrationStep*AS514))</f>
        <v>0.40307870083253744</v>
      </c>
      <c r="AU516" s="212">
        <f t="shared" si="66"/>
        <v>40.794124671602574</v>
      </c>
      <c r="AW516" s="58"/>
      <c r="AX516" s="58"/>
      <c r="AY516" s="58"/>
      <c r="AZ516" s="58"/>
    </row>
    <row r="517" spans="1:52" s="185" customFormat="1" ht="15" customHeight="1" x14ac:dyDescent="0.25">
      <c r="A517" s="200"/>
      <c r="B517" s="211"/>
      <c r="C517" s="212">
        <f t="shared" si="67"/>
        <v>50.600000000000449</v>
      </c>
      <c r="D517" s="231">
        <f>15+[1]!STEPLOAD(5)</f>
        <v>20</v>
      </c>
      <c r="E517" s="212">
        <f t="shared" si="69"/>
        <v>40.794124719162163</v>
      </c>
      <c r="F517" s="212">
        <f t="shared" si="70"/>
        <v>0.5</v>
      </c>
      <c r="G517" s="212">
        <f>5</f>
        <v>5</v>
      </c>
      <c r="H517" s="212">
        <f t="shared" si="68"/>
        <v>48.369444113635765</v>
      </c>
      <c r="I517" s="212">
        <f t="shared" si="71"/>
        <v>0.9</v>
      </c>
      <c r="J517" s="212">
        <f>1</f>
        <v>1</v>
      </c>
      <c r="K517" s="212">
        <f t="shared" si="72"/>
        <v>4.1870000000000003</v>
      </c>
      <c r="L517" s="212"/>
      <c r="M517" s="212"/>
      <c r="N517" s="212"/>
      <c r="O517" s="212"/>
      <c r="P517" s="212"/>
      <c r="Q517" s="212"/>
      <c r="R517" s="212"/>
      <c r="S517" s="212"/>
      <c r="T517" s="212"/>
      <c r="U517" s="212"/>
      <c r="V517" s="212"/>
      <c r="W517" s="212"/>
      <c r="X517" s="212"/>
      <c r="Y517" s="212"/>
      <c r="Z517" s="212"/>
      <c r="AA517" s="212"/>
      <c r="AB517" s="212"/>
      <c r="AC517" s="196"/>
      <c r="AD517" s="27"/>
      <c r="AE517" s="213"/>
      <c r="AF517" s="212">
        <f t="shared" si="73"/>
        <v>-1.8977492022287379E-8</v>
      </c>
      <c r="AG517" s="212"/>
      <c r="AH517" s="212"/>
      <c r="AI517" s="212"/>
      <c r="AJ517" s="212"/>
      <c r="AK517" s="212"/>
      <c r="AL517" s="212"/>
      <c r="AM517" s="212"/>
      <c r="AN517" s="212"/>
      <c r="AO517" s="212"/>
      <c r="AP517" s="196"/>
      <c r="AQ517" s="196"/>
      <c r="AR517" s="211"/>
      <c r="AS517" s="212">
        <f t="shared" si="65"/>
        <v>-4.7559588267631624E-10</v>
      </c>
      <c r="AT517" s="212">
        <f>[1]!LIM(AT516+Mode*r0*((1+IntegrationStep/2/Ti+Td/IntegrationStep)*AS517-(1-IntegrationStep/2/Ti+2*Td/IntegrationStep)*AS516+Td/IntegrationStep*AS515))</f>
        <v>0.40307870094696474</v>
      </c>
      <c r="AU517" s="212">
        <f t="shared" si="66"/>
        <v>40.794124671602574</v>
      </c>
      <c r="AW517" s="58"/>
      <c r="AX517" s="58"/>
      <c r="AY517" s="58"/>
      <c r="AZ517" s="58"/>
    </row>
    <row r="518" spans="1:52" s="185" customFormat="1" ht="15" customHeight="1" x14ac:dyDescent="0.25">
      <c r="A518" s="200"/>
      <c r="B518" s="211"/>
      <c r="C518" s="212">
        <f t="shared" si="67"/>
        <v>50.70000000000045</v>
      </c>
      <c r="D518" s="231">
        <f>15+[1]!STEPLOAD(5)</f>
        <v>20</v>
      </c>
      <c r="E518" s="212">
        <f t="shared" si="69"/>
        <v>40.794124717264417</v>
      </c>
      <c r="F518" s="212">
        <f t="shared" si="70"/>
        <v>0.5</v>
      </c>
      <c r="G518" s="212">
        <f>5</f>
        <v>5</v>
      </c>
      <c r="H518" s="212">
        <f t="shared" si="68"/>
        <v>48.369444126820376</v>
      </c>
      <c r="I518" s="212">
        <f t="shared" si="71"/>
        <v>0.9</v>
      </c>
      <c r="J518" s="212">
        <f>1</f>
        <v>1</v>
      </c>
      <c r="K518" s="212">
        <f t="shared" si="72"/>
        <v>4.1870000000000003</v>
      </c>
      <c r="L518" s="212"/>
      <c r="M518" s="212"/>
      <c r="N518" s="212"/>
      <c r="O518" s="212"/>
      <c r="P518" s="212"/>
      <c r="Q518" s="212"/>
      <c r="R518" s="212"/>
      <c r="S518" s="212"/>
      <c r="T518" s="212"/>
      <c r="U518" s="212"/>
      <c r="V518" s="212"/>
      <c r="W518" s="212"/>
      <c r="X518" s="212"/>
      <c r="Y518" s="212"/>
      <c r="Z518" s="212"/>
      <c r="AA518" s="212"/>
      <c r="AB518" s="212"/>
      <c r="AC518" s="196"/>
      <c r="AD518" s="27"/>
      <c r="AE518" s="213"/>
      <c r="AF518" s="212">
        <f t="shared" si="73"/>
        <v>-1.8220908781785283E-8</v>
      </c>
      <c r="AG518" s="212"/>
      <c r="AH518" s="212"/>
      <c r="AI518" s="212"/>
      <c r="AJ518" s="212"/>
      <c r="AK518" s="212"/>
      <c r="AL518" s="212"/>
      <c r="AM518" s="212"/>
      <c r="AN518" s="212"/>
      <c r="AO518" s="212"/>
      <c r="AP518" s="196"/>
      <c r="AQ518" s="196"/>
      <c r="AR518" s="211"/>
      <c r="AS518" s="212">
        <f t="shared" si="65"/>
        <v>-4.566184230725412E-10</v>
      </c>
      <c r="AT518" s="212">
        <f>[1]!LIM(AT517+Mode*r0*((1+IntegrationStep/2/Ti+Td/IntegrationStep)*AS518-(1-IntegrationStep/2/Ti+2*Td/IntegrationStep)*AS517+Td/IntegrationStep*AS516))</f>
        <v>0.40307870105683646</v>
      </c>
      <c r="AU518" s="212">
        <f t="shared" si="66"/>
        <v>40.794124671602574</v>
      </c>
      <c r="AW518" s="58"/>
      <c r="AX518" s="58"/>
      <c r="AY518" s="58"/>
      <c r="AZ518" s="58"/>
    </row>
    <row r="519" spans="1:52" s="185" customFormat="1" ht="15" customHeight="1" x14ac:dyDescent="0.25">
      <c r="A519" s="200"/>
      <c r="B519" s="211"/>
      <c r="C519" s="212">
        <f t="shared" si="67"/>
        <v>50.800000000000452</v>
      </c>
      <c r="D519" s="231">
        <f>15+[1]!STEPLOAD(5)</f>
        <v>20</v>
      </c>
      <c r="E519" s="212">
        <f t="shared" si="69"/>
        <v>40.794124715442329</v>
      </c>
      <c r="F519" s="212">
        <f t="shared" si="70"/>
        <v>0.5</v>
      </c>
      <c r="G519" s="212">
        <f>5</f>
        <v>5</v>
      </c>
      <c r="H519" s="212">
        <f t="shared" si="68"/>
        <v>48.369444139480088</v>
      </c>
      <c r="I519" s="212">
        <f t="shared" si="71"/>
        <v>0.9</v>
      </c>
      <c r="J519" s="212">
        <f>1</f>
        <v>1</v>
      </c>
      <c r="K519" s="212">
        <f t="shared" si="72"/>
        <v>4.1870000000000003</v>
      </c>
      <c r="L519" s="212"/>
      <c r="M519" s="212"/>
      <c r="N519" s="212"/>
      <c r="O519" s="212"/>
      <c r="P519" s="212"/>
      <c r="Q519" s="212"/>
      <c r="R519" s="212"/>
      <c r="S519" s="212"/>
      <c r="T519" s="212"/>
      <c r="U519" s="212"/>
      <c r="V519" s="212"/>
      <c r="W519" s="212"/>
      <c r="X519" s="212"/>
      <c r="Y519" s="212"/>
      <c r="Z519" s="212"/>
      <c r="AA519" s="212"/>
      <c r="AB519" s="212"/>
      <c r="AC519" s="196"/>
      <c r="AD519" s="27"/>
      <c r="AE519" s="213"/>
      <c r="AF519" s="212">
        <f t="shared" si="73"/>
        <v>-1.7494456550082305E-8</v>
      </c>
      <c r="AG519" s="212"/>
      <c r="AH519" s="212"/>
      <c r="AI519" s="212"/>
      <c r="AJ519" s="212"/>
      <c r="AK519" s="212"/>
      <c r="AL519" s="212"/>
      <c r="AM519" s="212"/>
      <c r="AN519" s="212"/>
      <c r="AO519" s="212"/>
      <c r="AP519" s="196"/>
      <c r="AQ519" s="196"/>
      <c r="AR519" s="211"/>
      <c r="AS519" s="212">
        <f t="shared" si="65"/>
        <v>-4.3839754937380349E-10</v>
      </c>
      <c r="AT519" s="212">
        <f>[1]!LIM(AT518+Mode*r0*((1+IntegrationStep/2/Ti+Td/IntegrationStep)*AS519-(1-IntegrationStep/2/Ti+2*Td/IntegrationStep)*AS518+Td/IntegrationStep*AS517))</f>
        <v>0.40307870116233407</v>
      </c>
      <c r="AU519" s="212">
        <f t="shared" si="66"/>
        <v>40.794124671602574</v>
      </c>
      <c r="AW519" s="58"/>
      <c r="AX519" s="58"/>
      <c r="AY519" s="58"/>
      <c r="AZ519" s="58"/>
    </row>
    <row r="520" spans="1:52" s="185" customFormat="1" ht="15" customHeight="1" x14ac:dyDescent="0.25">
      <c r="A520" s="200"/>
      <c r="B520" s="211"/>
      <c r="C520" s="212">
        <f t="shared" si="67"/>
        <v>50.900000000000453</v>
      </c>
      <c r="D520" s="231">
        <f>15+[1]!STEPLOAD(5)</f>
        <v>20</v>
      </c>
      <c r="E520" s="212">
        <f t="shared" si="69"/>
        <v>40.794124713692881</v>
      </c>
      <c r="F520" s="212">
        <f t="shared" si="70"/>
        <v>0.5</v>
      </c>
      <c r="G520" s="212">
        <f>5</f>
        <v>5</v>
      </c>
      <c r="H520" s="212">
        <f t="shared" si="68"/>
        <v>48.369444151635896</v>
      </c>
      <c r="I520" s="212">
        <f t="shared" si="71"/>
        <v>0.9</v>
      </c>
      <c r="J520" s="212">
        <f>1</f>
        <v>1</v>
      </c>
      <c r="K520" s="212">
        <f t="shared" si="72"/>
        <v>4.1870000000000003</v>
      </c>
      <c r="L520" s="212"/>
      <c r="M520" s="212"/>
      <c r="N520" s="212"/>
      <c r="O520" s="212"/>
      <c r="P520" s="212"/>
      <c r="Q520" s="212"/>
      <c r="R520" s="212"/>
      <c r="S520" s="212"/>
      <c r="T520" s="212"/>
      <c r="U520" s="212"/>
      <c r="V520" s="212"/>
      <c r="W520" s="212"/>
      <c r="X520" s="212"/>
      <c r="Y520" s="212"/>
      <c r="Z520" s="212"/>
      <c r="AA520" s="212"/>
      <c r="AB520" s="212"/>
      <c r="AC520" s="196"/>
      <c r="AD520" s="27"/>
      <c r="AE520" s="213"/>
      <c r="AF520" s="212">
        <f t="shared" si="73"/>
        <v>-1.679693051315212E-8</v>
      </c>
      <c r="AG520" s="212"/>
      <c r="AH520" s="212"/>
      <c r="AI520" s="212"/>
      <c r="AJ520" s="212"/>
      <c r="AK520" s="212"/>
      <c r="AL520" s="212"/>
      <c r="AM520" s="212"/>
      <c r="AN520" s="212"/>
      <c r="AO520" s="212"/>
      <c r="AP520" s="196"/>
      <c r="AQ520" s="196"/>
      <c r="AR520" s="211"/>
      <c r="AS520" s="212">
        <f t="shared" si="65"/>
        <v>-4.2090306351383331E-10</v>
      </c>
      <c r="AT520" s="212">
        <f>[1]!LIM(AT519+Mode*r0*((1+IntegrationStep/2/Ti+Td/IntegrationStep)*AS520-(1-IntegrationStep/2/Ti+2*Td/IntegrationStep)*AS519+Td/IntegrationStep*AS518))</f>
        <v>0.40307870126363249</v>
      </c>
      <c r="AU520" s="212">
        <f t="shared" si="66"/>
        <v>40.794124671602574</v>
      </c>
      <c r="AW520" s="58"/>
      <c r="AX520" s="58"/>
      <c r="AY520" s="58"/>
      <c r="AZ520" s="58"/>
    </row>
    <row r="521" spans="1:52" s="185" customFormat="1" ht="15" customHeight="1" x14ac:dyDescent="0.25">
      <c r="A521" s="200"/>
      <c r="B521" s="211"/>
      <c r="C521" s="212">
        <f t="shared" si="67"/>
        <v>51.000000000000455</v>
      </c>
      <c r="D521" s="231">
        <f>15+[1]!STEPLOAD(5)</f>
        <v>20</v>
      </c>
      <c r="E521" s="212">
        <f t="shared" si="69"/>
        <v>40.794124712013186</v>
      </c>
      <c r="F521" s="212">
        <f t="shared" si="70"/>
        <v>0.5</v>
      </c>
      <c r="G521" s="212">
        <f>5</f>
        <v>5</v>
      </c>
      <c r="H521" s="212">
        <f t="shared" si="68"/>
        <v>48.369444163307698</v>
      </c>
      <c r="I521" s="212">
        <f t="shared" si="71"/>
        <v>0.9</v>
      </c>
      <c r="J521" s="212">
        <f>1</f>
        <v>1</v>
      </c>
      <c r="K521" s="212">
        <f t="shared" si="72"/>
        <v>4.1870000000000003</v>
      </c>
      <c r="L521" s="212"/>
      <c r="M521" s="212"/>
      <c r="N521" s="212"/>
      <c r="O521" s="212"/>
      <c r="P521" s="212"/>
      <c r="Q521" s="212"/>
      <c r="R521" s="212"/>
      <c r="S521" s="212"/>
      <c r="T521" s="212"/>
      <c r="U521" s="212"/>
      <c r="V521" s="212"/>
      <c r="W521" s="212"/>
      <c r="X521" s="212"/>
      <c r="Y521" s="212"/>
      <c r="Z521" s="212"/>
      <c r="AA521" s="212"/>
      <c r="AB521" s="212"/>
      <c r="AC521" s="196"/>
      <c r="AD521" s="27"/>
      <c r="AE521" s="213"/>
      <c r="AF521" s="212">
        <f t="shared" si="73"/>
        <v>-1.6127188029457784E-8</v>
      </c>
      <c r="AG521" s="212"/>
      <c r="AH521" s="212"/>
      <c r="AI521" s="212"/>
      <c r="AJ521" s="212"/>
      <c r="AK521" s="212"/>
      <c r="AL521" s="212"/>
      <c r="AM521" s="212"/>
      <c r="AN521" s="212"/>
      <c r="AO521" s="212"/>
      <c r="AP521" s="196"/>
      <c r="AQ521" s="196"/>
      <c r="AR521" s="211"/>
      <c r="AS521" s="212">
        <f t="shared" si="65"/>
        <v>-4.0410611745755885E-10</v>
      </c>
      <c r="AT521" s="212">
        <f>[1]!LIM(AT520+Mode*r0*((1+IntegrationStep/2/Ti+Td/IntegrationStep)*AS521-(1-IntegrationStep/2/Ti+2*Td/IntegrationStep)*AS520+Td/IntegrationStep*AS519))</f>
        <v>0.40307870136089746</v>
      </c>
      <c r="AU521" s="212">
        <f t="shared" si="66"/>
        <v>40.794124671602574</v>
      </c>
      <c r="AW521" s="58"/>
      <c r="AX521" s="58"/>
      <c r="AY521" s="58"/>
      <c r="AZ521" s="58"/>
    </row>
    <row r="522" spans="1:52" s="185" customFormat="1" ht="15" customHeight="1" x14ac:dyDescent="0.25">
      <c r="A522" s="200"/>
      <c r="B522" s="211"/>
      <c r="C522" s="212">
        <f t="shared" si="67"/>
        <v>51.100000000000456</v>
      </c>
      <c r="D522" s="231">
        <f>15+[1]!STEPLOAD(5)</f>
        <v>20</v>
      </c>
      <c r="E522" s="212">
        <f t="shared" si="69"/>
        <v>40.794124710400467</v>
      </c>
      <c r="F522" s="212">
        <f t="shared" si="70"/>
        <v>0.5</v>
      </c>
      <c r="G522" s="212">
        <f>5</f>
        <v>5</v>
      </c>
      <c r="H522" s="212">
        <f t="shared" si="68"/>
        <v>48.369444174514726</v>
      </c>
      <c r="I522" s="212">
        <f t="shared" si="71"/>
        <v>0.9</v>
      </c>
      <c r="J522" s="212">
        <f>1</f>
        <v>1</v>
      </c>
      <c r="K522" s="212">
        <f t="shared" si="72"/>
        <v>4.1870000000000003</v>
      </c>
      <c r="L522" s="212"/>
      <c r="M522" s="212"/>
      <c r="N522" s="212"/>
      <c r="O522" s="212"/>
      <c r="P522" s="212"/>
      <c r="Q522" s="212"/>
      <c r="R522" s="212"/>
      <c r="S522" s="212"/>
      <c r="T522" s="212"/>
      <c r="U522" s="212"/>
      <c r="V522" s="212"/>
      <c r="W522" s="212"/>
      <c r="X522" s="212"/>
      <c r="Y522" s="212"/>
      <c r="Z522" s="212"/>
      <c r="AA522" s="212"/>
      <c r="AB522" s="212"/>
      <c r="AC522" s="196"/>
      <c r="AD522" s="27"/>
      <c r="AE522" s="213"/>
      <c r="AF522" s="212">
        <f t="shared" si="73"/>
        <v>-1.5484123760955981E-8</v>
      </c>
      <c r="AG522" s="212"/>
      <c r="AH522" s="212"/>
      <c r="AI522" s="212"/>
      <c r="AJ522" s="212"/>
      <c r="AK522" s="212"/>
      <c r="AL522" s="212"/>
      <c r="AM522" s="212"/>
      <c r="AN522" s="212"/>
      <c r="AO522" s="212"/>
      <c r="AP522" s="196"/>
      <c r="AQ522" s="196"/>
      <c r="AR522" s="211"/>
      <c r="AS522" s="212">
        <f t="shared" si="65"/>
        <v>-3.8797892898401187E-10</v>
      </c>
      <c r="AT522" s="212">
        <f>[1]!LIM(AT521+Mode*r0*((1+IntegrationStep/2/Ti+Td/IntegrationStep)*AS522-(1-IntegrationStep/2/Ti+2*Td/IntegrationStep)*AS521+Td/IntegrationStep*AS520))</f>
        <v>0.40307870145428937</v>
      </c>
      <c r="AU522" s="212">
        <f t="shared" si="66"/>
        <v>40.794124671602574</v>
      </c>
      <c r="AW522" s="58"/>
      <c r="AX522" s="58"/>
      <c r="AY522" s="58"/>
      <c r="AZ522" s="58"/>
    </row>
    <row r="523" spans="1:52" s="185" customFormat="1" ht="15" customHeight="1" x14ac:dyDescent="0.25">
      <c r="A523" s="200"/>
      <c r="B523" s="211"/>
      <c r="C523" s="212">
        <f t="shared" si="67"/>
        <v>51.200000000000458</v>
      </c>
      <c r="D523" s="231">
        <f>15+[1]!STEPLOAD(5)</f>
        <v>20</v>
      </c>
      <c r="E523" s="212">
        <f t="shared" si="69"/>
        <v>40.794124708852053</v>
      </c>
      <c r="F523" s="212">
        <f t="shared" si="70"/>
        <v>0.5</v>
      </c>
      <c r="G523" s="212">
        <f>5</f>
        <v>5</v>
      </c>
      <c r="H523" s="212">
        <f t="shared" si="68"/>
        <v>48.369444185275526</v>
      </c>
      <c r="I523" s="212">
        <f t="shared" si="71"/>
        <v>0.9</v>
      </c>
      <c r="J523" s="212">
        <f>1</f>
        <v>1</v>
      </c>
      <c r="K523" s="212">
        <f t="shared" si="72"/>
        <v>4.1870000000000003</v>
      </c>
      <c r="L523" s="212"/>
      <c r="M523" s="212"/>
      <c r="N523" s="212"/>
      <c r="O523" s="212"/>
      <c r="P523" s="212"/>
      <c r="Q523" s="212"/>
      <c r="R523" s="212"/>
      <c r="S523" s="212"/>
      <c r="T523" s="212"/>
      <c r="U523" s="212"/>
      <c r="V523" s="212"/>
      <c r="W523" s="212"/>
      <c r="X523" s="212"/>
      <c r="Y523" s="212"/>
      <c r="Z523" s="212"/>
      <c r="AA523" s="212"/>
      <c r="AB523" s="212"/>
      <c r="AC523" s="196"/>
      <c r="AD523" s="27"/>
      <c r="AE523" s="213"/>
      <c r="AF523" s="212">
        <f t="shared" si="73"/>
        <v>-1.48666732258107E-8</v>
      </c>
      <c r="AG523" s="212"/>
      <c r="AH523" s="212"/>
      <c r="AI523" s="212"/>
      <c r="AJ523" s="212"/>
      <c r="AK523" s="212"/>
      <c r="AL523" s="212"/>
      <c r="AM523" s="212"/>
      <c r="AN523" s="212"/>
      <c r="AO523" s="212"/>
      <c r="AP523" s="196"/>
      <c r="AQ523" s="196"/>
      <c r="AR523" s="211"/>
      <c r="AS523" s="212">
        <f t="shared" ref="AS523:AS586" si="74">(AU523-E523)/(MeasuredVariableHigher-MeasuredVariableLower)</f>
        <v>-3.7249478168632779E-10</v>
      </c>
      <c r="AT523" s="212">
        <f>[1]!LIM(AT522+Mode*r0*((1+IntegrationStep/2/Ti+Td/IntegrationStep)*AS523-(1-IntegrationStep/2/Ti+2*Td/IntegrationStep)*AS522+Td/IntegrationStep*AS521))</f>
        <v>0.40307870154396275</v>
      </c>
      <c r="AU523" s="212">
        <f t="shared" ref="AU523:AU586" si="75">SetPoint</f>
        <v>40.794124671602574</v>
      </c>
      <c r="AW523" s="58"/>
      <c r="AX523" s="58"/>
      <c r="AY523" s="58"/>
      <c r="AZ523" s="58"/>
    </row>
    <row r="524" spans="1:52" s="185" customFormat="1" ht="15" customHeight="1" x14ac:dyDescent="0.25">
      <c r="A524" s="200"/>
      <c r="B524" s="211"/>
      <c r="C524" s="212">
        <f t="shared" ref="C524:C587" si="76">C523+IntegrationStep</f>
        <v>51.300000000000459</v>
      </c>
      <c r="D524" s="231">
        <f>15+[1]!STEPLOAD(5)</f>
        <v>20</v>
      </c>
      <c r="E524" s="212">
        <f t="shared" si="69"/>
        <v>40.794124707365384</v>
      </c>
      <c r="F524" s="212">
        <f t="shared" si="70"/>
        <v>0.5</v>
      </c>
      <c r="G524" s="212">
        <f>5</f>
        <v>5</v>
      </c>
      <c r="H524" s="212">
        <f t="shared" ref="H524:H587" si="77">ManipulatedVariableHigher*AT524</f>
        <v>48.369444195607798</v>
      </c>
      <c r="I524" s="212">
        <f t="shared" si="71"/>
        <v>0.9</v>
      </c>
      <c r="J524" s="212">
        <f>1</f>
        <v>1</v>
      </c>
      <c r="K524" s="212">
        <f t="shared" si="72"/>
        <v>4.1870000000000003</v>
      </c>
      <c r="L524" s="212"/>
      <c r="M524" s="212"/>
      <c r="N524" s="212"/>
      <c r="O524" s="212"/>
      <c r="P524" s="212"/>
      <c r="Q524" s="212"/>
      <c r="R524" s="212"/>
      <c r="S524" s="212"/>
      <c r="T524" s="212"/>
      <c r="U524" s="212"/>
      <c r="V524" s="212"/>
      <c r="W524" s="212"/>
      <c r="X524" s="212"/>
      <c r="Y524" s="212"/>
      <c r="Z524" s="212"/>
      <c r="AA524" s="212"/>
      <c r="AB524" s="212"/>
      <c r="AC524" s="196"/>
      <c r="AD524" s="27"/>
      <c r="AE524" s="213"/>
      <c r="AF524" s="212">
        <f t="shared" si="73"/>
        <v>-1.4273819903820595E-8</v>
      </c>
      <c r="AG524" s="212"/>
      <c r="AH524" s="212"/>
      <c r="AI524" s="212"/>
      <c r="AJ524" s="212"/>
      <c r="AK524" s="212"/>
      <c r="AL524" s="212"/>
      <c r="AM524" s="212"/>
      <c r="AN524" s="212"/>
      <c r="AO524" s="212"/>
      <c r="AP524" s="196"/>
      <c r="AQ524" s="196"/>
      <c r="AR524" s="211"/>
      <c r="AS524" s="212">
        <f t="shared" si="74"/>
        <v>-3.576280960260192E-10</v>
      </c>
      <c r="AT524" s="212">
        <f>[1]!LIM(AT523+Mode*r0*((1+IntegrationStep/2/Ti+Td/IntegrationStep)*AS524-(1-IntegrationStep/2/Ti+2*Td/IntegrationStep)*AS523+Td/IntegrationStep*AS522))</f>
        <v>0.40307870163006498</v>
      </c>
      <c r="AU524" s="212">
        <f t="shared" si="75"/>
        <v>40.794124671602574</v>
      </c>
      <c r="AW524" s="58"/>
      <c r="AX524" s="58"/>
      <c r="AY524" s="58"/>
      <c r="AZ524" s="58"/>
    </row>
    <row r="525" spans="1:52" s="185" customFormat="1" ht="15" customHeight="1" x14ac:dyDescent="0.25">
      <c r="A525" s="200"/>
      <c r="B525" s="211"/>
      <c r="C525" s="212">
        <f t="shared" si="76"/>
        <v>51.40000000000046</v>
      </c>
      <c r="D525" s="231">
        <f>15+[1]!STEPLOAD(5)</f>
        <v>20</v>
      </c>
      <c r="E525" s="212">
        <f t="shared" ref="E525:E588" si="78">E524+(C525-C524)*AF524</f>
        <v>40.794124705938003</v>
      </c>
      <c r="F525" s="212">
        <f t="shared" ref="F525:F588" si="79">0.5</f>
        <v>0.5</v>
      </c>
      <c r="G525" s="212">
        <f>5</f>
        <v>5</v>
      </c>
      <c r="H525" s="212">
        <f t="shared" si="77"/>
        <v>48.369444205528552</v>
      </c>
      <c r="I525" s="212">
        <f t="shared" ref="I525:I588" si="80">0.9</f>
        <v>0.9</v>
      </c>
      <c r="J525" s="212">
        <f>1</f>
        <v>1</v>
      </c>
      <c r="K525" s="212">
        <f t="shared" ref="K525:K588" si="81">4.187</f>
        <v>4.1870000000000003</v>
      </c>
      <c r="L525" s="212"/>
      <c r="M525" s="212"/>
      <c r="N525" s="212"/>
      <c r="O525" s="212"/>
      <c r="P525" s="212"/>
      <c r="Q525" s="212"/>
      <c r="R525" s="212"/>
      <c r="S525" s="212"/>
      <c r="T525" s="212"/>
      <c r="U525" s="212"/>
      <c r="V525" s="212"/>
      <c r="W525" s="212"/>
      <c r="X525" s="212"/>
      <c r="Y525" s="212"/>
      <c r="Z525" s="212"/>
      <c r="AA525" s="212"/>
      <c r="AB525" s="212"/>
      <c r="AC525" s="196"/>
      <c r="AD525" s="27"/>
      <c r="AE525" s="213"/>
      <c r="AF525" s="212">
        <f t="shared" ref="AF525:AF588" si="82">F525/G525*(D525-E525)+H525*I525/G525/J525/K525</f>
        <v>-1.3704586354634785E-8</v>
      </c>
      <c r="AG525" s="212"/>
      <c r="AH525" s="212"/>
      <c r="AI525" s="212"/>
      <c r="AJ525" s="212"/>
      <c r="AK525" s="212"/>
      <c r="AL525" s="212"/>
      <c r="AM525" s="212"/>
      <c r="AN525" s="212"/>
      <c r="AO525" s="212"/>
      <c r="AP525" s="196"/>
      <c r="AQ525" s="196"/>
      <c r="AR525" s="211"/>
      <c r="AS525" s="212">
        <f t="shared" si="74"/>
        <v>-3.4335428722442884E-10</v>
      </c>
      <c r="AT525" s="212">
        <f>[1]!LIM(AT524+Mode*r0*((1+IntegrationStep/2/Ti+Td/IntegrationStep)*AS525-(1-IntegrationStep/2/Ti+2*Td/IntegrationStep)*AS524+Td/IntegrationStep*AS523))</f>
        <v>0.40307870171273791</v>
      </c>
      <c r="AU525" s="212">
        <f t="shared" si="75"/>
        <v>40.794124671602574</v>
      </c>
      <c r="AW525" s="58"/>
      <c r="AX525" s="58"/>
      <c r="AY525" s="58"/>
      <c r="AZ525" s="58"/>
    </row>
    <row r="526" spans="1:52" s="185" customFormat="1" ht="15" customHeight="1" x14ac:dyDescent="0.25">
      <c r="A526" s="200"/>
      <c r="B526" s="211"/>
      <c r="C526" s="212">
        <f t="shared" si="76"/>
        <v>51.500000000000462</v>
      </c>
      <c r="D526" s="231">
        <f>15+[1]!STEPLOAD(5)</f>
        <v>20</v>
      </c>
      <c r="E526" s="212">
        <f t="shared" si="78"/>
        <v>40.794124704567544</v>
      </c>
      <c r="F526" s="212">
        <f t="shared" si="79"/>
        <v>0.5</v>
      </c>
      <c r="G526" s="212">
        <f>5</f>
        <v>5</v>
      </c>
      <c r="H526" s="212">
        <f t="shared" si="77"/>
        <v>48.36944421505423</v>
      </c>
      <c r="I526" s="212">
        <f t="shared" si="80"/>
        <v>0.9</v>
      </c>
      <c r="J526" s="212">
        <f>1</f>
        <v>1</v>
      </c>
      <c r="K526" s="212">
        <f t="shared" si="81"/>
        <v>4.1870000000000003</v>
      </c>
      <c r="L526" s="212"/>
      <c r="M526" s="212"/>
      <c r="N526" s="212"/>
      <c r="O526" s="212"/>
      <c r="P526" s="212"/>
      <c r="Q526" s="212"/>
      <c r="R526" s="212"/>
      <c r="S526" s="212"/>
      <c r="T526" s="212"/>
      <c r="U526" s="212"/>
      <c r="V526" s="212"/>
      <c r="W526" s="212"/>
      <c r="X526" s="212"/>
      <c r="Y526" s="212"/>
      <c r="Z526" s="212"/>
      <c r="AA526" s="212"/>
      <c r="AB526" s="212"/>
      <c r="AC526" s="196"/>
      <c r="AD526" s="27"/>
      <c r="AE526" s="213"/>
      <c r="AF526" s="212">
        <f t="shared" si="82"/>
        <v>-1.3158029776860758E-8</v>
      </c>
      <c r="AG526" s="212"/>
      <c r="AH526" s="212"/>
      <c r="AI526" s="212"/>
      <c r="AJ526" s="212"/>
      <c r="AK526" s="212"/>
      <c r="AL526" s="212"/>
      <c r="AM526" s="212"/>
      <c r="AN526" s="212"/>
      <c r="AO526" s="212"/>
      <c r="AP526" s="196"/>
      <c r="AQ526" s="196"/>
      <c r="AR526" s="211"/>
      <c r="AS526" s="212">
        <f t="shared" si="74"/>
        <v>-3.2964969420845591E-10</v>
      </c>
      <c r="AT526" s="212">
        <f>[1]!LIM(AT525+Mode*r0*((1+IntegrationStep/2/Ti+Td/IntegrationStep)*AS526-(1-IntegrationStep/2/Ti+2*Td/IntegrationStep)*AS525+Td/IntegrationStep*AS524))</f>
        <v>0.40307870179211858</v>
      </c>
      <c r="AU526" s="212">
        <f t="shared" si="75"/>
        <v>40.794124671602574</v>
      </c>
      <c r="AW526" s="58"/>
      <c r="AX526" s="58"/>
      <c r="AY526" s="58"/>
      <c r="AZ526" s="58"/>
    </row>
    <row r="527" spans="1:52" s="185" customFormat="1" ht="15" customHeight="1" x14ac:dyDescent="0.25">
      <c r="A527" s="200"/>
      <c r="B527" s="211"/>
      <c r="C527" s="212">
        <f t="shared" si="76"/>
        <v>51.600000000000463</v>
      </c>
      <c r="D527" s="231">
        <f>15+[1]!STEPLOAD(5)</f>
        <v>20</v>
      </c>
      <c r="E527" s="212">
        <f t="shared" si="78"/>
        <v>40.79412470325174</v>
      </c>
      <c r="F527" s="212">
        <f t="shared" si="79"/>
        <v>0.5</v>
      </c>
      <c r="G527" s="212">
        <f>5</f>
        <v>5</v>
      </c>
      <c r="H527" s="212">
        <f t="shared" si="77"/>
        <v>48.369444224200528</v>
      </c>
      <c r="I527" s="212">
        <f t="shared" si="80"/>
        <v>0.9</v>
      </c>
      <c r="J527" s="212">
        <f>1</f>
        <v>1</v>
      </c>
      <c r="K527" s="212">
        <f t="shared" si="81"/>
        <v>4.1870000000000003</v>
      </c>
      <c r="L527" s="212"/>
      <c r="M527" s="212"/>
      <c r="N527" s="212"/>
      <c r="O527" s="212"/>
      <c r="P527" s="212"/>
      <c r="Q527" s="212"/>
      <c r="R527" s="212"/>
      <c r="S527" s="212"/>
      <c r="T527" s="212"/>
      <c r="U527" s="212"/>
      <c r="V527" s="212"/>
      <c r="W527" s="212"/>
      <c r="X527" s="212"/>
      <c r="Y527" s="212"/>
      <c r="Z527" s="212"/>
      <c r="AA527" s="212"/>
      <c r="AB527" s="212"/>
      <c r="AC527" s="196"/>
      <c r="AD527" s="27"/>
      <c r="AE527" s="213"/>
      <c r="AF527" s="212">
        <f t="shared" si="82"/>
        <v>-1.2633248225313309E-8</v>
      </c>
      <c r="AG527" s="212"/>
      <c r="AH527" s="212"/>
      <c r="AI527" s="212"/>
      <c r="AJ527" s="212"/>
      <c r="AK527" s="212"/>
      <c r="AL527" s="212"/>
      <c r="AM527" s="212"/>
      <c r="AN527" s="212"/>
      <c r="AO527" s="212"/>
      <c r="AP527" s="196"/>
      <c r="AQ527" s="196"/>
      <c r="AR527" s="211"/>
      <c r="AS527" s="212">
        <f t="shared" si="74"/>
        <v>-3.1649165066482963E-10</v>
      </c>
      <c r="AT527" s="212">
        <f>[1]!LIM(AT526+Mode*r0*((1+IntegrationStep/2/Ti+Td/IntegrationStep)*AS527-(1-IntegrationStep/2/Ti+2*Td/IntegrationStep)*AS526+Td/IntegrationStep*AS525))</f>
        <v>0.40307870186833772</v>
      </c>
      <c r="AU527" s="212">
        <f t="shared" si="75"/>
        <v>40.794124671602574</v>
      </c>
      <c r="AW527" s="58"/>
      <c r="AX527" s="58"/>
      <c r="AY527" s="58"/>
      <c r="AZ527" s="58"/>
    </row>
    <row r="528" spans="1:52" s="185" customFormat="1" ht="15" customHeight="1" x14ac:dyDescent="0.25">
      <c r="A528" s="200"/>
      <c r="B528" s="211"/>
      <c r="C528" s="212">
        <f t="shared" si="76"/>
        <v>51.700000000000465</v>
      </c>
      <c r="D528" s="231">
        <f>15+[1]!STEPLOAD(5)</f>
        <v>20</v>
      </c>
      <c r="E528" s="212">
        <f t="shared" si="78"/>
        <v>40.794124701988416</v>
      </c>
      <c r="F528" s="212">
        <f t="shared" si="79"/>
        <v>0.5</v>
      </c>
      <c r="G528" s="212">
        <f>5</f>
        <v>5</v>
      </c>
      <c r="H528" s="212">
        <f t="shared" si="77"/>
        <v>48.369444232982474</v>
      </c>
      <c r="I528" s="212">
        <f t="shared" si="80"/>
        <v>0.9</v>
      </c>
      <c r="J528" s="212">
        <f>1</f>
        <v>1</v>
      </c>
      <c r="K528" s="212">
        <f t="shared" si="81"/>
        <v>4.1870000000000003</v>
      </c>
      <c r="L528" s="212"/>
      <c r="M528" s="212"/>
      <c r="N528" s="212"/>
      <c r="O528" s="212"/>
      <c r="P528" s="212"/>
      <c r="Q528" s="212"/>
      <c r="R528" s="212"/>
      <c r="S528" s="212"/>
      <c r="T528" s="212"/>
      <c r="U528" s="212"/>
      <c r="V528" s="212"/>
      <c r="W528" s="212"/>
      <c r="X528" s="212"/>
      <c r="Y528" s="212"/>
      <c r="Z528" s="212"/>
      <c r="AA528" s="212"/>
      <c r="AB528" s="212"/>
      <c r="AC528" s="196"/>
      <c r="AD528" s="27"/>
      <c r="AE528" s="213"/>
      <c r="AF528" s="212">
        <f t="shared" si="82"/>
        <v>-1.2129377946479281E-8</v>
      </c>
      <c r="AG528" s="212"/>
      <c r="AH528" s="212"/>
      <c r="AI528" s="212"/>
      <c r="AJ528" s="212"/>
      <c r="AK528" s="212"/>
      <c r="AL528" s="212"/>
      <c r="AM528" s="212"/>
      <c r="AN528" s="212"/>
      <c r="AO528" s="212"/>
      <c r="AP528" s="196"/>
      <c r="AQ528" s="196"/>
      <c r="AR528" s="211"/>
      <c r="AS528" s="212">
        <f t="shared" si="74"/>
        <v>-3.0385841398583577E-10</v>
      </c>
      <c r="AT528" s="212">
        <f>[1]!LIM(AT527+Mode*r0*((1+IntegrationStep/2/Ti+Td/IntegrationStep)*AS528-(1-IntegrationStep/2/Ti+2*Td/IntegrationStep)*AS527+Td/IntegrationStep*AS526))</f>
        <v>0.40307870194152062</v>
      </c>
      <c r="AU528" s="212">
        <f t="shared" si="75"/>
        <v>40.794124671602574</v>
      </c>
      <c r="AW528" s="58"/>
      <c r="AX528" s="58"/>
      <c r="AY528" s="58"/>
      <c r="AZ528" s="58"/>
    </row>
    <row r="529" spans="1:52" s="185" customFormat="1" ht="15" customHeight="1" x14ac:dyDescent="0.25">
      <c r="A529" s="200"/>
      <c r="B529" s="211"/>
      <c r="C529" s="212">
        <f t="shared" si="76"/>
        <v>51.800000000000466</v>
      </c>
      <c r="D529" s="231">
        <f>15+[1]!STEPLOAD(5)</f>
        <v>20</v>
      </c>
      <c r="E529" s="212">
        <f t="shared" si="78"/>
        <v>40.794124700775477</v>
      </c>
      <c r="F529" s="212">
        <f t="shared" si="79"/>
        <v>0.5</v>
      </c>
      <c r="G529" s="212">
        <f>5</f>
        <v>5</v>
      </c>
      <c r="H529" s="212">
        <f t="shared" si="77"/>
        <v>48.369444241414662</v>
      </c>
      <c r="I529" s="212">
        <f t="shared" si="80"/>
        <v>0.9</v>
      </c>
      <c r="J529" s="212">
        <f>1</f>
        <v>1</v>
      </c>
      <c r="K529" s="212">
        <f t="shared" si="81"/>
        <v>4.1870000000000003</v>
      </c>
      <c r="L529" s="212"/>
      <c r="M529" s="212"/>
      <c r="N529" s="212"/>
      <c r="O529" s="212"/>
      <c r="P529" s="212"/>
      <c r="Q529" s="212"/>
      <c r="R529" s="212"/>
      <c r="S529" s="212"/>
      <c r="T529" s="212"/>
      <c r="U529" s="212"/>
      <c r="V529" s="212"/>
      <c r="W529" s="212"/>
      <c r="X529" s="212"/>
      <c r="Y529" s="212"/>
      <c r="Z529" s="212"/>
      <c r="AA529" s="212"/>
      <c r="AB529" s="212"/>
      <c r="AC529" s="196"/>
      <c r="AD529" s="27"/>
      <c r="AE529" s="213"/>
      <c r="AF529" s="212">
        <f t="shared" si="82"/>
        <v>-1.1645582276287314E-8</v>
      </c>
      <c r="AG529" s="212"/>
      <c r="AH529" s="212"/>
      <c r="AI529" s="212"/>
      <c r="AJ529" s="212"/>
      <c r="AK529" s="212"/>
      <c r="AL529" s="212"/>
      <c r="AM529" s="212"/>
      <c r="AN529" s="212"/>
      <c r="AO529" s="212"/>
      <c r="AP529" s="196"/>
      <c r="AQ529" s="196"/>
      <c r="AR529" s="211"/>
      <c r="AS529" s="212">
        <f t="shared" si="74"/>
        <v>-2.9172902316076942E-10</v>
      </c>
      <c r="AT529" s="212">
        <f>[1]!LIM(AT528+Mode*r0*((1+IntegrationStep/2/Ti+Td/IntegrationStep)*AS529-(1-IntegrationStep/2/Ti+2*Td/IntegrationStep)*AS528+Td/IntegrationStep*AS527))</f>
        <v>0.40307870201178886</v>
      </c>
      <c r="AU529" s="212">
        <f t="shared" si="75"/>
        <v>40.794124671602574</v>
      </c>
      <c r="AW529" s="58"/>
      <c r="AX529" s="58"/>
      <c r="AY529" s="58"/>
      <c r="AZ529" s="58"/>
    </row>
    <row r="530" spans="1:52" s="185" customFormat="1" ht="15" customHeight="1" x14ac:dyDescent="0.25">
      <c r="A530" s="200"/>
      <c r="B530" s="211"/>
      <c r="C530" s="212">
        <f t="shared" si="76"/>
        <v>51.900000000000468</v>
      </c>
      <c r="D530" s="231">
        <f>15+[1]!STEPLOAD(5)</f>
        <v>20</v>
      </c>
      <c r="E530" s="212">
        <f t="shared" si="78"/>
        <v>40.794124699610919</v>
      </c>
      <c r="F530" s="212">
        <f t="shared" si="79"/>
        <v>0.5</v>
      </c>
      <c r="G530" s="212">
        <f>5</f>
        <v>5</v>
      </c>
      <c r="H530" s="212">
        <f t="shared" si="77"/>
        <v>48.369444249510934</v>
      </c>
      <c r="I530" s="212">
        <f t="shared" si="80"/>
        <v>0.9</v>
      </c>
      <c r="J530" s="212">
        <f>1</f>
        <v>1</v>
      </c>
      <c r="K530" s="212">
        <f t="shared" si="81"/>
        <v>4.1870000000000003</v>
      </c>
      <c r="L530" s="212"/>
      <c r="M530" s="212"/>
      <c r="N530" s="212"/>
      <c r="O530" s="212"/>
      <c r="P530" s="212"/>
      <c r="Q530" s="212"/>
      <c r="R530" s="212"/>
      <c r="S530" s="212"/>
      <c r="T530" s="212"/>
      <c r="U530" s="212"/>
      <c r="V530" s="212"/>
      <c r="W530" s="212"/>
      <c r="X530" s="212"/>
      <c r="Y530" s="212"/>
      <c r="Z530" s="212"/>
      <c r="AA530" s="212"/>
      <c r="AB530" s="212"/>
      <c r="AC530" s="196"/>
      <c r="AD530" s="27"/>
      <c r="AE530" s="213"/>
      <c r="AF530" s="212">
        <f t="shared" si="82"/>
        <v>-1.1181066295051778E-8</v>
      </c>
      <c r="AG530" s="212"/>
      <c r="AH530" s="212"/>
      <c r="AI530" s="212"/>
      <c r="AJ530" s="212"/>
      <c r="AK530" s="212"/>
      <c r="AL530" s="212"/>
      <c r="AM530" s="212"/>
      <c r="AN530" s="212"/>
      <c r="AO530" s="212"/>
      <c r="AP530" s="196"/>
      <c r="AQ530" s="196"/>
      <c r="AR530" s="211"/>
      <c r="AS530" s="212">
        <f t="shared" si="74"/>
        <v>-2.800834408844821E-10</v>
      </c>
      <c r="AT530" s="212">
        <f>[1]!LIM(AT529+Mode*r0*((1+IntegrationStep/2/Ti+Td/IntegrationStep)*AS530-(1-IntegrationStep/2/Ti+2*Td/IntegrationStep)*AS529+Td/IntegrationStep*AS528))</f>
        <v>0.40307870207925778</v>
      </c>
      <c r="AU530" s="212">
        <f t="shared" si="75"/>
        <v>40.794124671602574</v>
      </c>
      <c r="AW530" s="58"/>
      <c r="AX530" s="58"/>
      <c r="AY530" s="58"/>
      <c r="AZ530" s="58"/>
    </row>
    <row r="531" spans="1:52" s="185" customFormat="1" ht="15" customHeight="1" x14ac:dyDescent="0.25">
      <c r="A531" s="200"/>
      <c r="B531" s="211"/>
      <c r="C531" s="212">
        <f t="shared" si="76"/>
        <v>52.000000000000469</v>
      </c>
      <c r="D531" s="231">
        <f>15+[1]!STEPLOAD(5)</f>
        <v>20</v>
      </c>
      <c r="E531" s="212">
        <f t="shared" si="78"/>
        <v>40.794124698492809</v>
      </c>
      <c r="F531" s="212">
        <f t="shared" si="79"/>
        <v>0.5</v>
      </c>
      <c r="G531" s="212">
        <f>5</f>
        <v>5</v>
      </c>
      <c r="H531" s="212">
        <f t="shared" si="77"/>
        <v>48.369444257284734</v>
      </c>
      <c r="I531" s="212">
        <f t="shared" si="80"/>
        <v>0.9</v>
      </c>
      <c r="J531" s="212">
        <f>1</f>
        <v>1</v>
      </c>
      <c r="K531" s="212">
        <f t="shared" si="81"/>
        <v>4.1870000000000003</v>
      </c>
      <c r="L531" s="212"/>
      <c r="M531" s="212"/>
      <c r="N531" s="212"/>
      <c r="O531" s="212"/>
      <c r="P531" s="212"/>
      <c r="Q531" s="212"/>
      <c r="R531" s="212"/>
      <c r="S531" s="212"/>
      <c r="T531" s="212"/>
      <c r="U531" s="212"/>
      <c r="V531" s="212"/>
      <c r="W531" s="212"/>
      <c r="X531" s="212"/>
      <c r="Y531" s="212"/>
      <c r="Z531" s="212"/>
      <c r="AA531" s="212"/>
      <c r="AB531" s="212"/>
      <c r="AC531" s="196"/>
      <c r="AD531" s="27"/>
      <c r="AE531" s="213"/>
      <c r="AF531" s="212">
        <f t="shared" si="82"/>
        <v>-1.0735057731636743E-8</v>
      </c>
      <c r="AG531" s="212"/>
      <c r="AH531" s="212"/>
      <c r="AI531" s="212"/>
      <c r="AJ531" s="212"/>
      <c r="AK531" s="212"/>
      <c r="AL531" s="212"/>
      <c r="AM531" s="212"/>
      <c r="AN531" s="212"/>
      <c r="AO531" s="212"/>
      <c r="AP531" s="196"/>
      <c r="AQ531" s="196"/>
      <c r="AR531" s="211"/>
      <c r="AS531" s="212">
        <f t="shared" si="74"/>
        <v>-2.6890234039456117E-10</v>
      </c>
      <c r="AT531" s="212">
        <f>[1]!LIM(AT530+Mode*r0*((1+IntegrationStep/2/Ti+Td/IntegrationStep)*AS531-(1-IntegrationStep/2/Ti+2*Td/IntegrationStep)*AS530+Td/IntegrationStep*AS529))</f>
        <v>0.40307870214403946</v>
      </c>
      <c r="AU531" s="212">
        <f t="shared" si="75"/>
        <v>40.794124671602574</v>
      </c>
      <c r="AW531" s="58"/>
      <c r="AX531" s="58"/>
      <c r="AY531" s="58"/>
      <c r="AZ531" s="58"/>
    </row>
    <row r="532" spans="1:52" s="185" customFormat="1" ht="15" customHeight="1" x14ac:dyDescent="0.25">
      <c r="A532" s="200"/>
      <c r="B532" s="211"/>
      <c r="C532" s="212">
        <f t="shared" si="76"/>
        <v>52.10000000000047</v>
      </c>
      <c r="D532" s="231">
        <f>15+[1]!STEPLOAD(5)</f>
        <v>20</v>
      </c>
      <c r="E532" s="212">
        <f t="shared" si="78"/>
        <v>40.794124697419299</v>
      </c>
      <c r="F532" s="212">
        <f t="shared" si="79"/>
        <v>0.5</v>
      </c>
      <c r="G532" s="212">
        <f>5</f>
        <v>5</v>
      </c>
      <c r="H532" s="212">
        <f t="shared" si="77"/>
        <v>48.369444264748836</v>
      </c>
      <c r="I532" s="212">
        <f t="shared" si="80"/>
        <v>0.9</v>
      </c>
      <c r="J532" s="212">
        <f>1</f>
        <v>1</v>
      </c>
      <c r="K532" s="212">
        <f t="shared" si="81"/>
        <v>4.1870000000000003</v>
      </c>
      <c r="L532" s="212"/>
      <c r="M532" s="212"/>
      <c r="N532" s="212"/>
      <c r="O532" s="212"/>
      <c r="P532" s="212"/>
      <c r="Q532" s="212"/>
      <c r="R532" s="212"/>
      <c r="S532" s="212"/>
      <c r="T532" s="212"/>
      <c r="U532" s="212"/>
      <c r="V532" s="212"/>
      <c r="W532" s="212"/>
      <c r="X532" s="212"/>
      <c r="Y532" s="212"/>
      <c r="Z532" s="212"/>
      <c r="AA532" s="212"/>
      <c r="AB532" s="212"/>
      <c r="AC532" s="196"/>
      <c r="AD532" s="27"/>
      <c r="AE532" s="213"/>
      <c r="AF532" s="212">
        <f t="shared" si="82"/>
        <v>-1.0306823394756748E-8</v>
      </c>
      <c r="AG532" s="212"/>
      <c r="AH532" s="212"/>
      <c r="AI532" s="212"/>
      <c r="AJ532" s="212"/>
      <c r="AK532" s="212"/>
      <c r="AL532" s="212"/>
      <c r="AM532" s="212"/>
      <c r="AN532" s="212"/>
      <c r="AO532" s="212"/>
      <c r="AP532" s="196"/>
      <c r="AQ532" s="196"/>
      <c r="AR532" s="211"/>
      <c r="AS532" s="212">
        <f t="shared" si="74"/>
        <v>-2.5816724757987684E-10</v>
      </c>
      <c r="AT532" s="212">
        <f>[1]!LIM(AT531+Mode*r0*((1+IntegrationStep/2/Ti+Td/IntegrationStep)*AS532-(1-IntegrationStep/2/Ti+2*Td/IntegrationStep)*AS531+Td/IntegrationStep*AS530))</f>
        <v>0.40307870220624031</v>
      </c>
      <c r="AU532" s="212">
        <f t="shared" si="75"/>
        <v>40.794124671602574</v>
      </c>
      <c r="AW532" s="58"/>
      <c r="AX532" s="58"/>
      <c r="AY532" s="58"/>
      <c r="AZ532" s="58"/>
    </row>
    <row r="533" spans="1:52" s="185" customFormat="1" ht="15" customHeight="1" x14ac:dyDescent="0.25">
      <c r="A533" s="200"/>
      <c r="B533" s="211"/>
      <c r="C533" s="212">
        <f t="shared" si="76"/>
        <v>52.200000000000472</v>
      </c>
      <c r="D533" s="231">
        <f>15+[1]!STEPLOAD(5)</f>
        <v>20</v>
      </c>
      <c r="E533" s="212">
        <f t="shared" si="78"/>
        <v>40.794124696388614</v>
      </c>
      <c r="F533" s="212">
        <f t="shared" si="79"/>
        <v>0.5</v>
      </c>
      <c r="G533" s="212">
        <f>5</f>
        <v>5</v>
      </c>
      <c r="H533" s="212">
        <f t="shared" si="77"/>
        <v>48.369444271915548</v>
      </c>
      <c r="I533" s="212">
        <f t="shared" si="80"/>
        <v>0.9</v>
      </c>
      <c r="J533" s="212">
        <f>1</f>
        <v>1</v>
      </c>
      <c r="K533" s="212">
        <f t="shared" si="81"/>
        <v>4.1870000000000003</v>
      </c>
      <c r="L533" s="212"/>
      <c r="M533" s="212"/>
      <c r="N533" s="212"/>
      <c r="O533" s="212"/>
      <c r="P533" s="212"/>
      <c r="Q533" s="212"/>
      <c r="R533" s="212"/>
      <c r="S533" s="212"/>
      <c r="T533" s="212"/>
      <c r="U533" s="212"/>
      <c r="V533" s="212"/>
      <c r="W533" s="212"/>
      <c r="X533" s="212"/>
      <c r="Y533" s="212"/>
      <c r="Z533" s="212"/>
      <c r="AA533" s="212"/>
      <c r="AB533" s="212"/>
      <c r="AC533" s="196"/>
      <c r="AD533" s="27"/>
      <c r="AE533" s="213"/>
      <c r="AF533" s="212">
        <f t="shared" si="82"/>
        <v>-9.8956567384789196E-9</v>
      </c>
      <c r="AG533" s="212"/>
      <c r="AH533" s="212"/>
      <c r="AI533" s="212"/>
      <c r="AJ533" s="212"/>
      <c r="AK533" s="212"/>
      <c r="AL533" s="212"/>
      <c r="AM533" s="212"/>
      <c r="AN533" s="212"/>
      <c r="AO533" s="212"/>
      <c r="AP533" s="196"/>
      <c r="AQ533" s="196"/>
      <c r="AR533" s="211"/>
      <c r="AS533" s="212">
        <f t="shared" si="74"/>
        <v>-2.4786039887203515E-10</v>
      </c>
      <c r="AT533" s="212">
        <f>[1]!LIM(AT532+Mode*r0*((1+IntegrationStep/2/Ti+Td/IntegrationStep)*AS533-(1-IntegrationStep/2/Ti+2*Td/IntegrationStep)*AS532+Td/IntegrationStep*AS531))</f>
        <v>0.40307870226596287</v>
      </c>
      <c r="AU533" s="212">
        <f t="shared" si="75"/>
        <v>40.794124671602574</v>
      </c>
      <c r="AW533" s="58"/>
      <c r="AX533" s="58"/>
      <c r="AY533" s="58"/>
      <c r="AZ533" s="58"/>
    </row>
    <row r="534" spans="1:52" s="185" customFormat="1" ht="15" customHeight="1" x14ac:dyDescent="0.25">
      <c r="A534" s="200"/>
      <c r="B534" s="211"/>
      <c r="C534" s="212">
        <f t="shared" si="76"/>
        <v>52.300000000000473</v>
      </c>
      <c r="D534" s="231">
        <f>15+[1]!STEPLOAD(5)</f>
        <v>20</v>
      </c>
      <c r="E534" s="212">
        <f t="shared" si="78"/>
        <v>40.794124695399049</v>
      </c>
      <c r="F534" s="212">
        <f t="shared" si="79"/>
        <v>0.5</v>
      </c>
      <c r="G534" s="212">
        <f>5</f>
        <v>5</v>
      </c>
      <c r="H534" s="212">
        <f t="shared" si="77"/>
        <v>48.369444278796664</v>
      </c>
      <c r="I534" s="212">
        <f t="shared" si="80"/>
        <v>0.9</v>
      </c>
      <c r="J534" s="212">
        <f>1</f>
        <v>1</v>
      </c>
      <c r="K534" s="212">
        <f t="shared" si="81"/>
        <v>4.1870000000000003</v>
      </c>
      <c r="L534" s="212"/>
      <c r="M534" s="212"/>
      <c r="N534" s="212"/>
      <c r="O534" s="212"/>
      <c r="P534" s="212"/>
      <c r="Q534" s="212"/>
      <c r="R534" s="212"/>
      <c r="S534" s="212"/>
      <c r="T534" s="212"/>
      <c r="U534" s="212"/>
      <c r="V534" s="212"/>
      <c r="W534" s="212"/>
      <c r="X534" s="212"/>
      <c r="Y534" s="212"/>
      <c r="Z534" s="212"/>
      <c r="AA534" s="212"/>
      <c r="AB534" s="212"/>
      <c r="AC534" s="196"/>
      <c r="AD534" s="27"/>
      <c r="AE534" s="213"/>
      <c r="AF534" s="212">
        <f t="shared" si="82"/>
        <v>-9.5008796385798178E-9</v>
      </c>
      <c r="AG534" s="212"/>
      <c r="AH534" s="212"/>
      <c r="AI534" s="212"/>
      <c r="AJ534" s="212"/>
      <c r="AK534" s="212"/>
      <c r="AL534" s="212"/>
      <c r="AM534" s="212"/>
      <c r="AN534" s="212"/>
      <c r="AO534" s="212"/>
      <c r="AP534" s="196"/>
      <c r="AQ534" s="196"/>
      <c r="AR534" s="211"/>
      <c r="AS534" s="212">
        <f t="shared" si="74"/>
        <v>-2.3796474124537779E-10</v>
      </c>
      <c r="AT534" s="212">
        <f>[1]!LIM(AT533+Mode*r0*((1+IntegrationStep/2/Ti+Td/IntegrationStep)*AS534-(1-IntegrationStep/2/Ti+2*Td/IntegrationStep)*AS533+Td/IntegrationStep*AS532))</f>
        <v>0.4030787023233055</v>
      </c>
      <c r="AU534" s="212">
        <f t="shared" si="75"/>
        <v>40.794124671602574</v>
      </c>
      <c r="AW534" s="58"/>
      <c r="AX534" s="58"/>
      <c r="AY534" s="58"/>
      <c r="AZ534" s="58"/>
    </row>
    <row r="535" spans="1:52" s="185" customFormat="1" ht="15" customHeight="1" x14ac:dyDescent="0.25">
      <c r="A535" s="200"/>
      <c r="B535" s="211"/>
      <c r="C535" s="212">
        <f t="shared" si="76"/>
        <v>52.400000000000475</v>
      </c>
      <c r="D535" s="231">
        <f>15+[1]!STEPLOAD(5)</f>
        <v>20</v>
      </c>
      <c r="E535" s="212">
        <f t="shared" si="78"/>
        <v>40.794124694448961</v>
      </c>
      <c r="F535" s="212">
        <f t="shared" si="79"/>
        <v>0.5</v>
      </c>
      <c r="G535" s="212">
        <f>5</f>
        <v>5</v>
      </c>
      <c r="H535" s="212">
        <f t="shared" si="77"/>
        <v>48.369444285403603</v>
      </c>
      <c r="I535" s="212">
        <f t="shared" si="80"/>
        <v>0.9</v>
      </c>
      <c r="J535" s="212">
        <f>1</f>
        <v>1</v>
      </c>
      <c r="K535" s="212">
        <f t="shared" si="81"/>
        <v>4.1870000000000003</v>
      </c>
      <c r="L535" s="212"/>
      <c r="M535" s="212"/>
      <c r="N535" s="212"/>
      <c r="O535" s="212"/>
      <c r="P535" s="212"/>
      <c r="Q535" s="212"/>
      <c r="R535" s="212"/>
      <c r="S535" s="212"/>
      <c r="T535" s="212"/>
      <c r="U535" s="212"/>
      <c r="V535" s="212"/>
      <c r="W535" s="212"/>
      <c r="X535" s="212"/>
      <c r="Y535" s="212"/>
      <c r="Z535" s="212"/>
      <c r="AA535" s="212"/>
      <c r="AB535" s="212"/>
      <c r="AC535" s="196"/>
      <c r="AD535" s="27"/>
      <c r="AE535" s="213"/>
      <c r="AF535" s="212">
        <f t="shared" si="82"/>
        <v>-9.1218370634749135E-9</v>
      </c>
      <c r="AG535" s="212"/>
      <c r="AH535" s="212"/>
      <c r="AI535" s="212"/>
      <c r="AJ535" s="212"/>
      <c r="AK535" s="212"/>
      <c r="AL535" s="212"/>
      <c r="AM535" s="212"/>
      <c r="AN535" s="212"/>
      <c r="AO535" s="212"/>
      <c r="AP535" s="196"/>
      <c r="AQ535" s="196"/>
      <c r="AR535" s="211"/>
      <c r="AS535" s="212">
        <f t="shared" si="74"/>
        <v>-2.2846386116270878E-10</v>
      </c>
      <c r="AT535" s="212">
        <f>[1]!LIM(AT534+Mode*r0*((1+IntegrationStep/2/Ti+Td/IntegrationStep)*AS535-(1-IntegrationStep/2/Ti+2*Td/IntegrationStep)*AS534+Td/IntegrationStep*AS533))</f>
        <v>0.40307870237836335</v>
      </c>
      <c r="AU535" s="212">
        <f t="shared" si="75"/>
        <v>40.794124671602574</v>
      </c>
      <c r="AW535" s="58"/>
      <c r="AX535" s="58"/>
      <c r="AY535" s="58"/>
      <c r="AZ535" s="58"/>
    </row>
    <row r="536" spans="1:52" s="185" customFormat="1" ht="15" customHeight="1" x14ac:dyDescent="0.25">
      <c r="A536" s="200"/>
      <c r="B536" s="211"/>
      <c r="C536" s="212">
        <f t="shared" si="76"/>
        <v>52.500000000000476</v>
      </c>
      <c r="D536" s="231">
        <f>15+[1]!STEPLOAD(5)</f>
        <v>20</v>
      </c>
      <c r="E536" s="212">
        <f t="shared" si="78"/>
        <v>40.79412469353678</v>
      </c>
      <c r="F536" s="212">
        <f t="shared" si="79"/>
        <v>0.5</v>
      </c>
      <c r="G536" s="212">
        <f>5</f>
        <v>5</v>
      </c>
      <c r="H536" s="212">
        <f t="shared" si="77"/>
        <v>48.369444291747222</v>
      </c>
      <c r="I536" s="212">
        <f t="shared" si="80"/>
        <v>0.9</v>
      </c>
      <c r="J536" s="212">
        <f>1</f>
        <v>1</v>
      </c>
      <c r="K536" s="212">
        <f t="shared" si="81"/>
        <v>4.1870000000000003</v>
      </c>
      <c r="L536" s="212"/>
      <c r="M536" s="212"/>
      <c r="N536" s="212"/>
      <c r="O536" s="212"/>
      <c r="P536" s="212"/>
      <c r="Q536" s="212"/>
      <c r="R536" s="212"/>
      <c r="S536" s="212"/>
      <c r="T536" s="212"/>
      <c r="U536" s="212"/>
      <c r="V536" s="212"/>
      <c r="W536" s="212"/>
      <c r="X536" s="212"/>
      <c r="Y536" s="212"/>
      <c r="Z536" s="212"/>
      <c r="AA536" s="212"/>
      <c r="AB536" s="212"/>
      <c r="AC536" s="196"/>
      <c r="AD536" s="27"/>
      <c r="AE536" s="213"/>
      <c r="AF536" s="212">
        <f t="shared" si="82"/>
        <v>-8.7579055119135774E-9</v>
      </c>
      <c r="AG536" s="212"/>
      <c r="AH536" s="212"/>
      <c r="AI536" s="212"/>
      <c r="AJ536" s="212"/>
      <c r="AK536" s="212"/>
      <c r="AL536" s="212"/>
      <c r="AM536" s="212"/>
      <c r="AN536" s="212"/>
      <c r="AO536" s="212"/>
      <c r="AP536" s="196"/>
      <c r="AQ536" s="196"/>
      <c r="AR536" s="211"/>
      <c r="AS536" s="212">
        <f t="shared" si="74"/>
        <v>-2.1934205562956778E-10</v>
      </c>
      <c r="AT536" s="212">
        <f>[1]!LIM(AT535+Mode*r0*((1+IntegrationStep/2/Ti+Td/IntegrationStep)*AS536-(1-IntegrationStep/2/Ti+2*Td/IntegrationStep)*AS535+Td/IntegrationStep*AS534))</f>
        <v>0.40307870243122684</v>
      </c>
      <c r="AU536" s="212">
        <f t="shared" si="75"/>
        <v>40.794124671602574</v>
      </c>
      <c r="AW536" s="58"/>
      <c r="AX536" s="58"/>
      <c r="AY536" s="58"/>
      <c r="AZ536" s="58"/>
    </row>
    <row r="537" spans="1:52" s="185" customFormat="1" ht="15" customHeight="1" x14ac:dyDescent="0.25">
      <c r="A537" s="200"/>
      <c r="B537" s="211"/>
      <c r="C537" s="212">
        <f t="shared" si="76"/>
        <v>52.600000000000477</v>
      </c>
      <c r="D537" s="231">
        <f>15+[1]!STEPLOAD(5)</f>
        <v>20</v>
      </c>
      <c r="E537" s="212">
        <f t="shared" si="78"/>
        <v>40.794124692660986</v>
      </c>
      <c r="F537" s="212">
        <f t="shared" si="79"/>
        <v>0.5</v>
      </c>
      <c r="G537" s="212">
        <f>5</f>
        <v>5</v>
      </c>
      <c r="H537" s="212">
        <f t="shared" si="77"/>
        <v>48.369444297838172</v>
      </c>
      <c r="I537" s="212">
        <f t="shared" si="80"/>
        <v>0.9</v>
      </c>
      <c r="J537" s="212">
        <f>1</f>
        <v>1</v>
      </c>
      <c r="K537" s="212">
        <f t="shared" si="81"/>
        <v>4.1870000000000003</v>
      </c>
      <c r="L537" s="212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  <c r="AA537" s="212"/>
      <c r="AB537" s="212"/>
      <c r="AC537" s="196"/>
      <c r="AD537" s="27"/>
      <c r="AE537" s="213"/>
      <c r="AF537" s="212">
        <f t="shared" si="82"/>
        <v>-8.4084752494106851E-9</v>
      </c>
      <c r="AG537" s="212"/>
      <c r="AH537" s="212"/>
      <c r="AI537" s="212"/>
      <c r="AJ537" s="212"/>
      <c r="AK537" s="212"/>
      <c r="AL537" s="212"/>
      <c r="AM537" s="212"/>
      <c r="AN537" s="212"/>
      <c r="AO537" s="212"/>
      <c r="AP537" s="196"/>
      <c r="AQ537" s="196"/>
      <c r="AR537" s="211"/>
      <c r="AS537" s="212">
        <f t="shared" si="74"/>
        <v>-2.1058411903140951E-10</v>
      </c>
      <c r="AT537" s="212">
        <f>[1]!LIM(AT536+Mode*r0*((1+IntegrationStep/2/Ti+Td/IntegrationStep)*AS537-(1-IntegrationStep/2/Ti+2*Td/IntegrationStep)*AS536+Td/IntegrationStep*AS535))</f>
        <v>0.40307870248198474</v>
      </c>
      <c r="AU537" s="212">
        <f t="shared" si="75"/>
        <v>40.794124671602574</v>
      </c>
      <c r="AW537" s="58"/>
      <c r="AX537" s="58"/>
      <c r="AY537" s="58"/>
      <c r="AZ537" s="58"/>
    </row>
    <row r="538" spans="1:52" s="185" customFormat="1" ht="15" customHeight="1" x14ac:dyDescent="0.25">
      <c r="A538" s="200"/>
      <c r="B538" s="211"/>
      <c r="C538" s="212">
        <f t="shared" si="76"/>
        <v>52.700000000000479</v>
      </c>
      <c r="D538" s="231">
        <f>15+[1]!STEPLOAD(5)</f>
        <v>20</v>
      </c>
      <c r="E538" s="212">
        <f t="shared" si="78"/>
        <v>40.794124691820137</v>
      </c>
      <c r="F538" s="212">
        <f t="shared" si="79"/>
        <v>0.5</v>
      </c>
      <c r="G538" s="212">
        <f>5</f>
        <v>5</v>
      </c>
      <c r="H538" s="212">
        <f t="shared" si="77"/>
        <v>48.369444303686358</v>
      </c>
      <c r="I538" s="212">
        <f t="shared" si="80"/>
        <v>0.9</v>
      </c>
      <c r="J538" s="212">
        <f>1</f>
        <v>1</v>
      </c>
      <c r="K538" s="212">
        <f t="shared" si="81"/>
        <v>4.1870000000000003</v>
      </c>
      <c r="L538" s="212"/>
      <c r="M538" s="212"/>
      <c r="N538" s="212"/>
      <c r="O538" s="212"/>
      <c r="P538" s="212"/>
      <c r="Q538" s="212"/>
      <c r="R538" s="212"/>
      <c r="S538" s="212"/>
      <c r="T538" s="212"/>
      <c r="U538" s="212"/>
      <c r="V538" s="212"/>
      <c r="W538" s="212"/>
      <c r="X538" s="212"/>
      <c r="Y538" s="212"/>
      <c r="Z538" s="212"/>
      <c r="AA538" s="212"/>
      <c r="AB538" s="212"/>
      <c r="AC538" s="196"/>
      <c r="AD538" s="27"/>
      <c r="AE538" s="213"/>
      <c r="AF538" s="212">
        <f t="shared" si="82"/>
        <v>-8.0729751772423697E-9</v>
      </c>
      <c r="AG538" s="212"/>
      <c r="AH538" s="212"/>
      <c r="AI538" s="212"/>
      <c r="AJ538" s="212"/>
      <c r="AK538" s="212"/>
      <c r="AL538" s="212"/>
      <c r="AM538" s="212"/>
      <c r="AN538" s="212"/>
      <c r="AO538" s="212"/>
      <c r="AP538" s="196"/>
      <c r="AQ538" s="196"/>
      <c r="AR538" s="211"/>
      <c r="AS538" s="212">
        <f t="shared" si="74"/>
        <v>-2.0217562735069804E-10</v>
      </c>
      <c r="AT538" s="212">
        <f>[1]!LIM(AT537+Mode*r0*((1+IntegrationStep/2/Ti+Td/IntegrationStep)*AS538-(1-IntegrationStep/2/Ti+2*Td/IntegrationStep)*AS537+Td/IntegrationStep*AS536))</f>
        <v>0.40307870253071965</v>
      </c>
      <c r="AU538" s="212">
        <f t="shared" si="75"/>
        <v>40.794124671602574</v>
      </c>
      <c r="AW538" s="58"/>
      <c r="AX538" s="58"/>
      <c r="AY538" s="58"/>
      <c r="AZ538" s="58"/>
    </row>
    <row r="539" spans="1:52" s="185" customFormat="1" ht="15" customHeight="1" x14ac:dyDescent="0.25">
      <c r="A539" s="200"/>
      <c r="B539" s="211"/>
      <c r="C539" s="212">
        <f t="shared" si="76"/>
        <v>52.80000000000048</v>
      </c>
      <c r="D539" s="231">
        <f>15+[1]!STEPLOAD(5)</f>
        <v>20</v>
      </c>
      <c r="E539" s="212">
        <f t="shared" si="78"/>
        <v>40.79412469101284</v>
      </c>
      <c r="F539" s="212">
        <f t="shared" si="79"/>
        <v>0.5</v>
      </c>
      <c r="G539" s="212">
        <f>5</f>
        <v>5</v>
      </c>
      <c r="H539" s="212">
        <f t="shared" si="77"/>
        <v>48.369444309301443</v>
      </c>
      <c r="I539" s="212">
        <f t="shared" si="80"/>
        <v>0.9</v>
      </c>
      <c r="J539" s="212">
        <f>1</f>
        <v>1</v>
      </c>
      <c r="K539" s="212">
        <f t="shared" si="81"/>
        <v>4.1870000000000003</v>
      </c>
      <c r="L539" s="212"/>
      <c r="M539" s="212"/>
      <c r="N539" s="212"/>
      <c r="O539" s="212"/>
      <c r="P539" s="212"/>
      <c r="Q539" s="212"/>
      <c r="R539" s="212"/>
      <c r="S539" s="212"/>
      <c r="T539" s="212"/>
      <c r="U539" s="212"/>
      <c r="V539" s="212"/>
      <c r="W539" s="212"/>
      <c r="X539" s="212"/>
      <c r="Y539" s="212"/>
      <c r="Z539" s="212"/>
      <c r="AA539" s="212"/>
      <c r="AB539" s="212"/>
      <c r="AC539" s="196"/>
      <c r="AD539" s="27"/>
      <c r="AE539" s="213"/>
      <c r="AF539" s="212">
        <f t="shared" si="82"/>
        <v>-7.7508524043423677E-9</v>
      </c>
      <c r="AG539" s="212"/>
      <c r="AH539" s="212"/>
      <c r="AI539" s="212"/>
      <c r="AJ539" s="212"/>
      <c r="AK539" s="212"/>
      <c r="AL539" s="212"/>
      <c r="AM539" s="212"/>
      <c r="AN539" s="212"/>
      <c r="AO539" s="212"/>
      <c r="AP539" s="196"/>
      <c r="AQ539" s="196"/>
      <c r="AR539" s="211"/>
      <c r="AS539" s="212">
        <f t="shared" si="74"/>
        <v>-1.9410265394981252E-10</v>
      </c>
      <c r="AT539" s="212">
        <f>[1]!LIM(AT538+Mode*r0*((1+IntegrationStep/2/Ti+Td/IntegrationStep)*AS539-(1-IntegrationStep/2/Ti+2*Td/IntegrationStep)*AS538+Td/IntegrationStep*AS537))</f>
        <v>0.40307870257751205</v>
      </c>
      <c r="AU539" s="212">
        <f t="shared" si="75"/>
        <v>40.794124671602574</v>
      </c>
      <c r="AW539" s="58"/>
      <c r="AX539" s="58"/>
      <c r="AY539" s="58"/>
      <c r="AZ539" s="58"/>
    </row>
    <row r="540" spans="1:52" s="185" customFormat="1" ht="15" customHeight="1" x14ac:dyDescent="0.25">
      <c r="A540" s="200"/>
      <c r="B540" s="211"/>
      <c r="C540" s="212">
        <f t="shared" si="76"/>
        <v>52.900000000000482</v>
      </c>
      <c r="D540" s="231">
        <f>15+[1]!STEPLOAD(5)</f>
        <v>20</v>
      </c>
      <c r="E540" s="212">
        <f t="shared" si="78"/>
        <v>40.794124690237751</v>
      </c>
      <c r="F540" s="212">
        <f t="shared" si="79"/>
        <v>0.5</v>
      </c>
      <c r="G540" s="212">
        <f>5</f>
        <v>5</v>
      </c>
      <c r="H540" s="212">
        <f t="shared" si="77"/>
        <v>48.369444314692814</v>
      </c>
      <c r="I540" s="212">
        <f t="shared" si="80"/>
        <v>0.9</v>
      </c>
      <c r="J540" s="212">
        <f>1</f>
        <v>1</v>
      </c>
      <c r="K540" s="212">
        <f t="shared" si="81"/>
        <v>4.1870000000000003</v>
      </c>
      <c r="L540" s="212"/>
      <c r="M540" s="212"/>
      <c r="N540" s="212"/>
      <c r="O540" s="212"/>
      <c r="P540" s="212"/>
      <c r="Q540" s="212"/>
      <c r="R540" s="212"/>
      <c r="S540" s="212"/>
      <c r="T540" s="212"/>
      <c r="U540" s="212"/>
      <c r="V540" s="212"/>
      <c r="W540" s="212"/>
      <c r="X540" s="212"/>
      <c r="Y540" s="212"/>
      <c r="Z540" s="212"/>
      <c r="AA540" s="212"/>
      <c r="AB540" s="212"/>
      <c r="AC540" s="196"/>
      <c r="AD540" s="27"/>
      <c r="AE540" s="213"/>
      <c r="AF540" s="212">
        <f t="shared" si="82"/>
        <v>-7.4415669182315014E-9</v>
      </c>
      <c r="AG540" s="212"/>
      <c r="AH540" s="212"/>
      <c r="AI540" s="212"/>
      <c r="AJ540" s="212"/>
      <c r="AK540" s="212"/>
      <c r="AL540" s="212"/>
      <c r="AM540" s="212"/>
      <c r="AN540" s="212"/>
      <c r="AO540" s="212"/>
      <c r="AP540" s="196"/>
      <c r="AQ540" s="196"/>
      <c r="AR540" s="211"/>
      <c r="AS540" s="212">
        <f t="shared" si="74"/>
        <v>-1.8635176957104705E-10</v>
      </c>
      <c r="AT540" s="212">
        <f>[1]!LIM(AT539+Mode*r0*((1+IntegrationStep/2/Ti+Td/IntegrationStep)*AS540-(1-IntegrationStep/2/Ti+2*Td/IntegrationStep)*AS539+Td/IntegrationStep*AS538))</f>
        <v>0.40307870262244011</v>
      </c>
      <c r="AU540" s="212">
        <f t="shared" si="75"/>
        <v>40.794124671602574</v>
      </c>
      <c r="AW540" s="58"/>
      <c r="AX540" s="58"/>
      <c r="AY540" s="58"/>
      <c r="AZ540" s="58"/>
    </row>
    <row r="541" spans="1:52" s="185" customFormat="1" ht="15" customHeight="1" x14ac:dyDescent="0.25">
      <c r="A541" s="200"/>
      <c r="B541" s="211"/>
      <c r="C541" s="212">
        <f t="shared" si="76"/>
        <v>53.000000000000483</v>
      </c>
      <c r="D541" s="231">
        <f>15+[1]!STEPLOAD(5)</f>
        <v>20</v>
      </c>
      <c r="E541" s="212">
        <f t="shared" si="78"/>
        <v>40.794124689493593</v>
      </c>
      <c r="F541" s="212">
        <f t="shared" si="79"/>
        <v>0.5</v>
      </c>
      <c r="G541" s="212">
        <f>5</f>
        <v>5</v>
      </c>
      <c r="H541" s="212">
        <f t="shared" si="77"/>
        <v>48.369444319869274</v>
      </c>
      <c r="I541" s="212">
        <f t="shared" si="80"/>
        <v>0.9</v>
      </c>
      <c r="J541" s="212">
        <f>1</f>
        <v>1</v>
      </c>
      <c r="K541" s="212">
        <f t="shared" si="81"/>
        <v>4.1870000000000003</v>
      </c>
      <c r="L541" s="212"/>
      <c r="M541" s="212"/>
      <c r="N541" s="212"/>
      <c r="O541" s="212"/>
      <c r="P541" s="212"/>
      <c r="Q541" s="212"/>
      <c r="R541" s="212"/>
      <c r="S541" s="212"/>
      <c r="T541" s="212"/>
      <c r="U541" s="212"/>
      <c r="V541" s="212"/>
      <c r="W541" s="212"/>
      <c r="X541" s="212"/>
      <c r="Y541" s="212"/>
      <c r="Z541" s="212"/>
      <c r="AA541" s="212"/>
      <c r="AB541" s="212"/>
      <c r="AC541" s="196"/>
      <c r="AD541" s="27"/>
      <c r="AE541" s="213"/>
      <c r="AF541" s="212">
        <f t="shared" si="82"/>
        <v>-7.1446142335673812E-9</v>
      </c>
      <c r="AG541" s="212"/>
      <c r="AH541" s="212"/>
      <c r="AI541" s="212"/>
      <c r="AJ541" s="212"/>
      <c r="AK541" s="212"/>
      <c r="AL541" s="212"/>
      <c r="AM541" s="212"/>
      <c r="AN541" s="212"/>
      <c r="AO541" s="212"/>
      <c r="AP541" s="196"/>
      <c r="AQ541" s="196"/>
      <c r="AR541" s="211"/>
      <c r="AS541" s="212">
        <f t="shared" si="74"/>
        <v>-1.7891018444515793E-10</v>
      </c>
      <c r="AT541" s="212">
        <f>[1]!LIM(AT540+Mode*r0*((1+IntegrationStep/2/Ti+Td/IntegrationStep)*AS541-(1-IntegrationStep/2/Ti+2*Td/IntegrationStep)*AS540+Td/IntegrationStep*AS539))</f>
        <v>0.40307870266557727</v>
      </c>
      <c r="AU541" s="212">
        <f t="shared" si="75"/>
        <v>40.794124671602574</v>
      </c>
      <c r="AW541" s="58"/>
      <c r="AX541" s="58"/>
      <c r="AY541" s="58"/>
      <c r="AZ541" s="58"/>
    </row>
    <row r="542" spans="1:52" s="185" customFormat="1" ht="15" customHeight="1" x14ac:dyDescent="0.25">
      <c r="A542" s="200"/>
      <c r="B542" s="211"/>
      <c r="C542" s="212">
        <f t="shared" si="76"/>
        <v>53.100000000000485</v>
      </c>
      <c r="D542" s="231">
        <f>15+[1]!STEPLOAD(5)</f>
        <v>20</v>
      </c>
      <c r="E542" s="212">
        <f t="shared" si="78"/>
        <v>40.794124688779128</v>
      </c>
      <c r="F542" s="212">
        <f t="shared" si="79"/>
        <v>0.5</v>
      </c>
      <c r="G542" s="212">
        <f>5</f>
        <v>5</v>
      </c>
      <c r="H542" s="212">
        <f t="shared" si="77"/>
        <v>48.369444324839435</v>
      </c>
      <c r="I542" s="212">
        <f t="shared" si="80"/>
        <v>0.9</v>
      </c>
      <c r="J542" s="212">
        <f>1</f>
        <v>1</v>
      </c>
      <c r="K542" s="212">
        <f t="shared" si="81"/>
        <v>4.1870000000000003</v>
      </c>
      <c r="L542" s="212"/>
      <c r="M542" s="212"/>
      <c r="N542" s="212"/>
      <c r="O542" s="212"/>
      <c r="P542" s="212"/>
      <c r="Q542" s="212"/>
      <c r="R542" s="212"/>
      <c r="S542" s="212"/>
      <c r="T542" s="212"/>
      <c r="U542" s="212"/>
      <c r="V542" s="212"/>
      <c r="W542" s="212"/>
      <c r="X542" s="212"/>
      <c r="Y542" s="212"/>
      <c r="Z542" s="212"/>
      <c r="AA542" s="212"/>
      <c r="AB542" s="212"/>
      <c r="AC542" s="196"/>
      <c r="AD542" s="27"/>
      <c r="AE542" s="213"/>
      <c r="AF542" s="212">
        <f t="shared" si="82"/>
        <v>-6.8594991908810243E-9</v>
      </c>
      <c r="AG542" s="212"/>
      <c r="AH542" s="212"/>
      <c r="AI542" s="212"/>
      <c r="AJ542" s="212"/>
      <c r="AK542" s="212"/>
      <c r="AL542" s="212"/>
      <c r="AM542" s="212"/>
      <c r="AN542" s="212"/>
      <c r="AO542" s="212"/>
      <c r="AP542" s="196"/>
      <c r="AQ542" s="196"/>
      <c r="AR542" s="211"/>
      <c r="AS542" s="212">
        <f t="shared" si="74"/>
        <v>-1.7176553512854297E-10</v>
      </c>
      <c r="AT542" s="212">
        <f>[1]!LIM(AT541+Mode*r0*((1+IntegrationStep/2/Ti+Td/IntegrationStep)*AS542-(1-IntegrationStep/2/Ti+2*Td/IntegrationStep)*AS541+Td/IntegrationStep*AS540))</f>
        <v>0.40307870270699531</v>
      </c>
      <c r="AU542" s="212">
        <f t="shared" si="75"/>
        <v>40.794124671602574</v>
      </c>
      <c r="AW542" s="58"/>
      <c r="AX542" s="58"/>
      <c r="AY542" s="58"/>
      <c r="AZ542" s="58"/>
    </row>
    <row r="543" spans="1:52" s="185" customFormat="1" ht="15" customHeight="1" x14ac:dyDescent="0.25">
      <c r="A543" s="200"/>
      <c r="B543" s="211"/>
      <c r="C543" s="212">
        <f t="shared" si="76"/>
        <v>53.200000000000486</v>
      </c>
      <c r="D543" s="231">
        <f>15+[1]!STEPLOAD(5)</f>
        <v>20</v>
      </c>
      <c r="E543" s="212">
        <f t="shared" si="78"/>
        <v>40.794124688093177</v>
      </c>
      <c r="F543" s="212">
        <f t="shared" si="79"/>
        <v>0.5</v>
      </c>
      <c r="G543" s="212">
        <f>5</f>
        <v>5</v>
      </c>
      <c r="H543" s="212">
        <f t="shared" si="77"/>
        <v>48.36944432961144</v>
      </c>
      <c r="I543" s="212">
        <f t="shared" si="80"/>
        <v>0.9</v>
      </c>
      <c r="J543" s="212">
        <f>1</f>
        <v>1</v>
      </c>
      <c r="K543" s="212">
        <f t="shared" si="81"/>
        <v>4.1870000000000003</v>
      </c>
      <c r="L543" s="212"/>
      <c r="M543" s="212"/>
      <c r="N543" s="212"/>
      <c r="O543" s="212"/>
      <c r="P543" s="212"/>
      <c r="Q543" s="212"/>
      <c r="R543" s="212"/>
      <c r="S543" s="212"/>
      <c r="T543" s="212"/>
      <c r="U543" s="212"/>
      <c r="V543" s="212"/>
      <c r="W543" s="212"/>
      <c r="X543" s="212"/>
      <c r="Y543" s="212"/>
      <c r="Z543" s="212"/>
      <c r="AA543" s="212"/>
      <c r="AB543" s="212"/>
      <c r="AC543" s="196"/>
      <c r="AD543" s="27"/>
      <c r="AE543" s="213"/>
      <c r="AF543" s="212">
        <f t="shared" si="82"/>
        <v>-6.5857546083236684E-9</v>
      </c>
      <c r="AG543" s="212"/>
      <c r="AH543" s="212"/>
      <c r="AI543" s="212"/>
      <c r="AJ543" s="212"/>
      <c r="AK543" s="212"/>
      <c r="AL543" s="212"/>
      <c r="AM543" s="212"/>
      <c r="AN543" s="212"/>
      <c r="AO543" s="212"/>
      <c r="AP543" s="196"/>
      <c r="AQ543" s="196"/>
      <c r="AR543" s="211"/>
      <c r="AS543" s="212">
        <f t="shared" si="74"/>
        <v>-1.6490602661178854E-10</v>
      </c>
      <c r="AT543" s="212">
        <f>[1]!LIM(AT542+Mode*r0*((1+IntegrationStep/2/Ti+Td/IntegrationStep)*AS543-(1-IntegrationStep/2/Ti+2*Td/IntegrationStep)*AS542+Td/IntegrationStep*AS541))</f>
        <v>0.403078702746762</v>
      </c>
      <c r="AU543" s="212">
        <f t="shared" si="75"/>
        <v>40.794124671602574</v>
      </c>
      <c r="AW543" s="58"/>
      <c r="AX543" s="58"/>
      <c r="AY543" s="58"/>
      <c r="AZ543" s="58"/>
    </row>
    <row r="544" spans="1:52" s="185" customFormat="1" ht="15" customHeight="1" x14ac:dyDescent="0.25">
      <c r="A544" s="200"/>
      <c r="B544" s="211"/>
      <c r="C544" s="212">
        <f t="shared" si="76"/>
        <v>53.300000000000487</v>
      </c>
      <c r="D544" s="231">
        <f>15+[1]!STEPLOAD(5)</f>
        <v>20</v>
      </c>
      <c r="E544" s="212">
        <f t="shared" si="78"/>
        <v>40.794124687434604</v>
      </c>
      <c r="F544" s="212">
        <f t="shared" si="79"/>
        <v>0.5</v>
      </c>
      <c r="G544" s="212">
        <f>5</f>
        <v>5</v>
      </c>
      <c r="H544" s="212">
        <f t="shared" si="77"/>
        <v>48.369444334193176</v>
      </c>
      <c r="I544" s="212">
        <f t="shared" si="80"/>
        <v>0.9</v>
      </c>
      <c r="J544" s="212">
        <f>1</f>
        <v>1</v>
      </c>
      <c r="K544" s="212">
        <f t="shared" si="81"/>
        <v>4.1870000000000003</v>
      </c>
      <c r="L544" s="212"/>
      <c r="M544" s="212"/>
      <c r="N544" s="212"/>
      <c r="O544" s="212"/>
      <c r="P544" s="212"/>
      <c r="Q544" s="212"/>
      <c r="R544" s="212"/>
      <c r="S544" s="212"/>
      <c r="T544" s="212"/>
      <c r="U544" s="212"/>
      <c r="V544" s="212"/>
      <c r="W544" s="212"/>
      <c r="X544" s="212"/>
      <c r="Y544" s="212"/>
      <c r="Z544" s="212"/>
      <c r="AA544" s="212"/>
      <c r="AB544" s="212"/>
      <c r="AC544" s="196"/>
      <c r="AD544" s="27"/>
      <c r="AE544" s="213"/>
      <c r="AF544" s="212">
        <f t="shared" si="82"/>
        <v>-6.3229279589904763E-9</v>
      </c>
      <c r="AG544" s="212"/>
      <c r="AH544" s="212"/>
      <c r="AI544" s="212"/>
      <c r="AJ544" s="212"/>
      <c r="AK544" s="212"/>
      <c r="AL544" s="212"/>
      <c r="AM544" s="212"/>
      <c r="AN544" s="212"/>
      <c r="AO544" s="212"/>
      <c r="AP544" s="196"/>
      <c r="AQ544" s="196"/>
      <c r="AR544" s="211"/>
      <c r="AS544" s="212">
        <f t="shared" si="74"/>
        <v>-1.5832029021112247E-10</v>
      </c>
      <c r="AT544" s="212">
        <f>[1]!LIM(AT543+Mode*r0*((1+IntegrationStep/2/Ti+Td/IntegrationStep)*AS544-(1-IntegrationStep/2/Ti+2*Td/IntegrationStep)*AS543+Td/IntegrationStep*AS542))</f>
        <v>0.40307870278494312</v>
      </c>
      <c r="AU544" s="212">
        <f t="shared" si="75"/>
        <v>40.794124671602574</v>
      </c>
      <c r="AW544" s="58"/>
      <c r="AX544" s="58"/>
      <c r="AY544" s="58"/>
      <c r="AZ544" s="58"/>
    </row>
    <row r="545" spans="1:52" s="185" customFormat="1" ht="15" customHeight="1" x14ac:dyDescent="0.25">
      <c r="A545" s="200"/>
      <c r="B545" s="211"/>
      <c r="C545" s="212">
        <f t="shared" si="76"/>
        <v>53.400000000000489</v>
      </c>
      <c r="D545" s="231">
        <f>15+[1]!STEPLOAD(5)</f>
        <v>20</v>
      </c>
      <c r="E545" s="212">
        <f t="shared" si="78"/>
        <v>40.794124686802313</v>
      </c>
      <c r="F545" s="212">
        <f t="shared" si="79"/>
        <v>0.5</v>
      </c>
      <c r="G545" s="212">
        <f>5</f>
        <v>5</v>
      </c>
      <c r="H545" s="212">
        <f t="shared" si="77"/>
        <v>48.369444338592253</v>
      </c>
      <c r="I545" s="212">
        <f t="shared" si="80"/>
        <v>0.9</v>
      </c>
      <c r="J545" s="212">
        <f>1</f>
        <v>1</v>
      </c>
      <c r="K545" s="212">
        <f t="shared" si="81"/>
        <v>4.1870000000000003</v>
      </c>
      <c r="L545" s="212"/>
      <c r="M545" s="212"/>
      <c r="N545" s="212"/>
      <c r="O545" s="212"/>
      <c r="P545" s="212"/>
      <c r="Q545" s="212"/>
      <c r="R545" s="212"/>
      <c r="S545" s="212"/>
      <c r="T545" s="212"/>
      <c r="U545" s="212"/>
      <c r="V545" s="212"/>
      <c r="W545" s="212"/>
      <c r="X545" s="212"/>
      <c r="Y545" s="212"/>
      <c r="Z545" s="212"/>
      <c r="AA545" s="212"/>
      <c r="AB545" s="212"/>
      <c r="AC545" s="196"/>
      <c r="AD545" s="27"/>
      <c r="AE545" s="213"/>
      <c r="AF545" s="212">
        <f t="shared" si="82"/>
        <v>-6.0705813709205358E-9</v>
      </c>
      <c r="AG545" s="212"/>
      <c r="AH545" s="212"/>
      <c r="AI545" s="212"/>
      <c r="AJ545" s="212"/>
      <c r="AK545" s="212"/>
      <c r="AL545" s="212"/>
      <c r="AM545" s="212"/>
      <c r="AN545" s="212"/>
      <c r="AO545" s="212"/>
      <c r="AP545" s="196"/>
      <c r="AQ545" s="196"/>
      <c r="AR545" s="211"/>
      <c r="AS545" s="212">
        <f t="shared" si="74"/>
        <v>-1.5199738356841408E-10</v>
      </c>
      <c r="AT545" s="212">
        <f>[1]!LIM(AT544+Mode*r0*((1+IntegrationStep/2/Ti+Td/IntegrationStep)*AS545-(1-IntegrationStep/2/Ti+2*Td/IntegrationStep)*AS544+Td/IntegrationStep*AS543))</f>
        <v>0.40307870282160213</v>
      </c>
      <c r="AU545" s="212">
        <f t="shared" si="75"/>
        <v>40.794124671602574</v>
      </c>
      <c r="AW545" s="58"/>
      <c r="AX545" s="58"/>
      <c r="AY545" s="58"/>
      <c r="AZ545" s="58"/>
    </row>
    <row r="546" spans="1:52" s="185" customFormat="1" ht="15" customHeight="1" x14ac:dyDescent="0.25">
      <c r="A546" s="200"/>
      <c r="B546" s="211"/>
      <c r="C546" s="212">
        <f t="shared" si="76"/>
        <v>53.50000000000049</v>
      </c>
      <c r="D546" s="231">
        <f>15+[1]!STEPLOAD(5)</f>
        <v>20</v>
      </c>
      <c r="E546" s="212">
        <f t="shared" si="78"/>
        <v>40.794124686195254</v>
      </c>
      <c r="F546" s="212">
        <f t="shared" si="79"/>
        <v>0.5</v>
      </c>
      <c r="G546" s="212">
        <f>5</f>
        <v>5</v>
      </c>
      <c r="H546" s="212">
        <f t="shared" si="77"/>
        <v>48.369444342816031</v>
      </c>
      <c r="I546" s="212">
        <f t="shared" si="80"/>
        <v>0.9</v>
      </c>
      <c r="J546" s="212">
        <f>1</f>
        <v>1</v>
      </c>
      <c r="K546" s="212">
        <f t="shared" si="81"/>
        <v>4.1870000000000003</v>
      </c>
      <c r="L546" s="212"/>
      <c r="M546" s="212"/>
      <c r="N546" s="212"/>
      <c r="O546" s="212"/>
      <c r="P546" s="212"/>
      <c r="Q546" s="212"/>
      <c r="R546" s="212"/>
      <c r="S546" s="212"/>
      <c r="T546" s="212"/>
      <c r="U546" s="212"/>
      <c r="V546" s="212"/>
      <c r="W546" s="212"/>
      <c r="X546" s="212"/>
      <c r="Y546" s="212"/>
      <c r="Z546" s="212"/>
      <c r="AA546" s="212"/>
      <c r="AB546" s="212"/>
      <c r="AC546" s="196"/>
      <c r="AD546" s="27"/>
      <c r="AE546" s="213"/>
      <c r="AF546" s="212">
        <f t="shared" si="82"/>
        <v>-5.828294291632119E-9</v>
      </c>
      <c r="AG546" s="212"/>
      <c r="AH546" s="212"/>
      <c r="AI546" s="212"/>
      <c r="AJ546" s="212"/>
      <c r="AK546" s="212"/>
      <c r="AL546" s="212"/>
      <c r="AM546" s="212"/>
      <c r="AN546" s="212"/>
      <c r="AO546" s="212"/>
      <c r="AP546" s="196"/>
      <c r="AQ546" s="196"/>
      <c r="AR546" s="211"/>
      <c r="AS546" s="212">
        <f t="shared" si="74"/>
        <v>-1.4592679065117408E-10</v>
      </c>
      <c r="AT546" s="212">
        <f>[1]!LIM(AT545+Mode*r0*((1+IntegrationStep/2/Ti+Td/IntegrationStep)*AS546-(1-IntegrationStep/2/Ti+2*Td/IntegrationStep)*AS545+Td/IntegrationStep*AS544))</f>
        <v>0.40307870285680025</v>
      </c>
      <c r="AU546" s="212">
        <f t="shared" si="75"/>
        <v>40.794124671602574</v>
      </c>
      <c r="AW546" s="58"/>
      <c r="AX546" s="58"/>
      <c r="AY546" s="58"/>
      <c r="AZ546" s="58"/>
    </row>
    <row r="547" spans="1:52" s="185" customFormat="1" ht="15" customHeight="1" x14ac:dyDescent="0.25">
      <c r="A547" s="200"/>
      <c r="B547" s="211"/>
      <c r="C547" s="212">
        <f t="shared" si="76"/>
        <v>53.600000000000492</v>
      </c>
      <c r="D547" s="231">
        <f>15+[1]!STEPLOAD(5)</f>
        <v>20</v>
      </c>
      <c r="E547" s="212">
        <f t="shared" si="78"/>
        <v>40.794124685612424</v>
      </c>
      <c r="F547" s="212">
        <f t="shared" si="79"/>
        <v>0.5</v>
      </c>
      <c r="G547" s="212">
        <f>5</f>
        <v>5</v>
      </c>
      <c r="H547" s="212">
        <f t="shared" si="77"/>
        <v>48.369444346871397</v>
      </c>
      <c r="I547" s="212">
        <f t="shared" si="80"/>
        <v>0.9</v>
      </c>
      <c r="J547" s="212">
        <f>1</f>
        <v>1</v>
      </c>
      <c r="K547" s="212">
        <f t="shared" si="81"/>
        <v>4.1870000000000003</v>
      </c>
      <c r="L547" s="212"/>
      <c r="M547" s="212"/>
      <c r="N547" s="212"/>
      <c r="O547" s="212"/>
      <c r="P547" s="212"/>
      <c r="Q547" s="212"/>
      <c r="R547" s="212"/>
      <c r="S547" s="212"/>
      <c r="T547" s="212"/>
      <c r="U547" s="212"/>
      <c r="V547" s="212"/>
      <c r="W547" s="212"/>
      <c r="X547" s="212"/>
      <c r="Y547" s="212"/>
      <c r="Z547" s="212"/>
      <c r="AA547" s="212"/>
      <c r="AB547" s="212"/>
      <c r="AC547" s="196"/>
      <c r="AD547" s="27"/>
      <c r="AE547" s="213"/>
      <c r="AF547" s="212">
        <f t="shared" si="82"/>
        <v>-5.5956701494608296E-9</v>
      </c>
      <c r="AG547" s="212"/>
      <c r="AH547" s="212"/>
      <c r="AI547" s="212"/>
      <c r="AJ547" s="212"/>
      <c r="AK547" s="212"/>
      <c r="AL547" s="212"/>
      <c r="AM547" s="212"/>
      <c r="AN547" s="212"/>
      <c r="AO547" s="212"/>
      <c r="AP547" s="196"/>
      <c r="AQ547" s="196"/>
      <c r="AR547" s="211"/>
      <c r="AS547" s="212">
        <f t="shared" si="74"/>
        <v>-1.4009849280682829E-10</v>
      </c>
      <c r="AT547" s="212">
        <f>[1]!LIM(AT546+Mode*r0*((1+IntegrationStep/2/Ti+Td/IntegrationStep)*AS547-(1-IntegrationStep/2/Ti+2*Td/IntegrationStep)*AS546+Td/IntegrationStep*AS545))</f>
        <v>0.403078702890595</v>
      </c>
      <c r="AU547" s="212">
        <f t="shared" si="75"/>
        <v>40.794124671602574</v>
      </c>
      <c r="AW547" s="58"/>
      <c r="AX547" s="58"/>
      <c r="AY547" s="58"/>
      <c r="AZ547" s="58"/>
    </row>
    <row r="548" spans="1:52" s="185" customFormat="1" ht="15" customHeight="1" x14ac:dyDescent="0.25">
      <c r="A548" s="200"/>
      <c r="B548" s="211"/>
      <c r="C548" s="212">
        <f t="shared" si="76"/>
        <v>53.700000000000493</v>
      </c>
      <c r="D548" s="231">
        <f>15+[1]!STEPLOAD(5)</f>
        <v>20</v>
      </c>
      <c r="E548" s="212">
        <f t="shared" si="78"/>
        <v>40.794124685052857</v>
      </c>
      <c r="F548" s="212">
        <f t="shared" si="79"/>
        <v>0.5</v>
      </c>
      <c r="G548" s="212">
        <f>5</f>
        <v>5</v>
      </c>
      <c r="H548" s="212">
        <f t="shared" si="77"/>
        <v>48.369444350765072</v>
      </c>
      <c r="I548" s="212">
        <f t="shared" si="80"/>
        <v>0.9</v>
      </c>
      <c r="J548" s="212">
        <f>1</f>
        <v>1</v>
      </c>
      <c r="K548" s="212">
        <f t="shared" si="81"/>
        <v>4.1870000000000003</v>
      </c>
      <c r="L548" s="212"/>
      <c r="M548" s="212"/>
      <c r="N548" s="212"/>
      <c r="O548" s="212"/>
      <c r="P548" s="212"/>
      <c r="Q548" s="212"/>
      <c r="R548" s="212"/>
      <c r="S548" s="212"/>
      <c r="T548" s="212"/>
      <c r="U548" s="212"/>
      <c r="V548" s="212"/>
      <c r="W548" s="212"/>
      <c r="X548" s="212"/>
      <c r="Y548" s="212"/>
      <c r="Z548" s="212"/>
      <c r="AA548" s="212"/>
      <c r="AB548" s="212"/>
      <c r="AC548" s="196"/>
      <c r="AD548" s="27"/>
      <c r="AE548" s="213"/>
      <c r="AF548" s="212">
        <f t="shared" si="82"/>
        <v>-5.3723234749725179E-9</v>
      </c>
      <c r="AG548" s="212"/>
      <c r="AH548" s="212"/>
      <c r="AI548" s="212"/>
      <c r="AJ548" s="212"/>
      <c r="AK548" s="212"/>
      <c r="AL548" s="212"/>
      <c r="AM548" s="212"/>
      <c r="AN548" s="212"/>
      <c r="AO548" s="212"/>
      <c r="AP548" s="196"/>
      <c r="AQ548" s="196"/>
      <c r="AR548" s="211"/>
      <c r="AS548" s="212">
        <f t="shared" si="74"/>
        <v>-1.3450282665417035E-10</v>
      </c>
      <c r="AT548" s="212">
        <f>[1]!LIM(AT547+Mode*r0*((1+IntegrationStep/2/Ti+Td/IntegrationStep)*AS548-(1-IntegrationStep/2/Ti+2*Td/IntegrationStep)*AS547+Td/IntegrationStep*AS546))</f>
        <v>0.40307870292304226</v>
      </c>
      <c r="AU548" s="212">
        <f t="shared" si="75"/>
        <v>40.794124671602574</v>
      </c>
      <c r="AW548" s="58"/>
      <c r="AX548" s="58"/>
      <c r="AY548" s="58"/>
      <c r="AZ548" s="58"/>
    </row>
    <row r="549" spans="1:52" s="185" customFormat="1" ht="15" customHeight="1" x14ac:dyDescent="0.25">
      <c r="A549" s="200"/>
      <c r="B549" s="211"/>
      <c r="C549" s="212">
        <f t="shared" si="76"/>
        <v>53.800000000000495</v>
      </c>
      <c r="D549" s="231">
        <f>15+[1]!STEPLOAD(5)</f>
        <v>20</v>
      </c>
      <c r="E549" s="212">
        <f t="shared" si="78"/>
        <v>40.794124684515623</v>
      </c>
      <c r="F549" s="212">
        <f t="shared" si="79"/>
        <v>0.5</v>
      </c>
      <c r="G549" s="212">
        <f>5</f>
        <v>5</v>
      </c>
      <c r="H549" s="212">
        <f t="shared" si="77"/>
        <v>48.369444354503543</v>
      </c>
      <c r="I549" s="212">
        <f t="shared" si="80"/>
        <v>0.9</v>
      </c>
      <c r="J549" s="212">
        <f>1</f>
        <v>1</v>
      </c>
      <c r="K549" s="212">
        <f t="shared" si="81"/>
        <v>4.1870000000000003</v>
      </c>
      <c r="L549" s="212"/>
      <c r="M549" s="212"/>
      <c r="N549" s="212"/>
      <c r="O549" s="212"/>
      <c r="P549" s="212"/>
      <c r="Q549" s="212"/>
      <c r="R549" s="212"/>
      <c r="S549" s="212"/>
      <c r="T549" s="212"/>
      <c r="U549" s="212"/>
      <c r="V549" s="212"/>
      <c r="W549" s="212"/>
      <c r="X549" s="212"/>
      <c r="Y549" s="212"/>
      <c r="Z549" s="212"/>
      <c r="AA549" s="212"/>
      <c r="AB549" s="212"/>
      <c r="AC549" s="196"/>
      <c r="AD549" s="27"/>
      <c r="AE549" s="213"/>
      <c r="AF549" s="212">
        <f t="shared" si="82"/>
        <v>-5.1578830095877493E-9</v>
      </c>
      <c r="AG549" s="212"/>
      <c r="AH549" s="212"/>
      <c r="AI549" s="212"/>
      <c r="AJ549" s="212"/>
      <c r="AK549" s="212"/>
      <c r="AL549" s="212"/>
      <c r="AM549" s="212"/>
      <c r="AN549" s="212"/>
      <c r="AO549" s="212"/>
      <c r="AP549" s="196"/>
      <c r="AQ549" s="196"/>
      <c r="AR549" s="211"/>
      <c r="AS549" s="212">
        <f t="shared" si="74"/>
        <v>-1.2913048408336181E-10</v>
      </c>
      <c r="AT549" s="212">
        <f>[1]!LIM(AT548+Mode*r0*((1+IntegrationStep/2/Ti+Td/IntegrationStep)*AS549-(1-IntegrationStep/2/Ti+2*Td/IntegrationStep)*AS548+Td/IntegrationStep*AS547))</f>
        <v>0.40307870295419618</v>
      </c>
      <c r="AU549" s="212">
        <f t="shared" si="75"/>
        <v>40.794124671602574</v>
      </c>
      <c r="AW549" s="58"/>
      <c r="AX549" s="58"/>
      <c r="AY549" s="58"/>
      <c r="AZ549" s="58"/>
    </row>
    <row r="550" spans="1:52" s="185" customFormat="1" ht="15" customHeight="1" x14ac:dyDescent="0.25">
      <c r="A550" s="200"/>
      <c r="B550" s="211"/>
      <c r="C550" s="212">
        <f t="shared" si="76"/>
        <v>53.900000000000496</v>
      </c>
      <c r="D550" s="231">
        <f>15+[1]!STEPLOAD(5)</f>
        <v>20</v>
      </c>
      <c r="E550" s="212">
        <f t="shared" si="78"/>
        <v>40.794124683999833</v>
      </c>
      <c r="F550" s="212">
        <f t="shared" si="79"/>
        <v>0.5</v>
      </c>
      <c r="G550" s="212">
        <f>5</f>
        <v>5</v>
      </c>
      <c r="H550" s="212">
        <f t="shared" si="77"/>
        <v>48.369444358092942</v>
      </c>
      <c r="I550" s="212">
        <f t="shared" si="80"/>
        <v>0.9</v>
      </c>
      <c r="J550" s="212">
        <f>1</f>
        <v>1</v>
      </c>
      <c r="K550" s="212">
        <f t="shared" si="81"/>
        <v>4.1870000000000003</v>
      </c>
      <c r="L550" s="212"/>
      <c r="M550" s="212"/>
      <c r="N550" s="212"/>
      <c r="O550" s="212"/>
      <c r="P550" s="212"/>
      <c r="Q550" s="212"/>
      <c r="R550" s="212"/>
      <c r="S550" s="212"/>
      <c r="T550" s="212"/>
      <c r="U550" s="212"/>
      <c r="V550" s="212"/>
      <c r="W550" s="212"/>
      <c r="X550" s="212"/>
      <c r="Y550" s="212"/>
      <c r="Z550" s="212"/>
      <c r="AA550" s="212"/>
      <c r="AB550" s="212"/>
      <c r="AC550" s="196"/>
      <c r="AD550" s="27"/>
      <c r="AE550" s="213"/>
      <c r="AF550" s="212">
        <f t="shared" si="82"/>
        <v>-4.9519943701170632E-9</v>
      </c>
      <c r="AG550" s="212"/>
      <c r="AH550" s="212"/>
      <c r="AI550" s="212"/>
      <c r="AJ550" s="212"/>
      <c r="AK550" s="212"/>
      <c r="AL550" s="212"/>
      <c r="AM550" s="212"/>
      <c r="AN550" s="212"/>
      <c r="AO550" s="212"/>
      <c r="AP550" s="196"/>
      <c r="AQ550" s="196"/>
      <c r="AR550" s="211"/>
      <c r="AS550" s="212">
        <f t="shared" si="74"/>
        <v>-1.2397258331020567E-10</v>
      </c>
      <c r="AT550" s="212">
        <f>[1]!LIM(AT549+Mode*r0*((1+IntegrationStep/2/Ti+Td/IntegrationStep)*AS550-(1-IntegrationStep/2/Ti+2*Td/IntegrationStep)*AS549+Td/IntegrationStep*AS548))</f>
        <v>0.40307870298410786</v>
      </c>
      <c r="AU550" s="212">
        <f t="shared" si="75"/>
        <v>40.794124671602574</v>
      </c>
      <c r="AW550" s="58"/>
      <c r="AX550" s="58"/>
      <c r="AY550" s="58"/>
      <c r="AZ550" s="58"/>
    </row>
    <row r="551" spans="1:52" s="185" customFormat="1" ht="15" customHeight="1" x14ac:dyDescent="0.25">
      <c r="A551" s="200"/>
      <c r="B551" s="211"/>
      <c r="C551" s="212">
        <f t="shared" si="76"/>
        <v>54.000000000000497</v>
      </c>
      <c r="D551" s="231">
        <f>15+[1]!STEPLOAD(5)</f>
        <v>20</v>
      </c>
      <c r="E551" s="212">
        <f t="shared" si="78"/>
        <v>40.794124683504634</v>
      </c>
      <c r="F551" s="212">
        <f t="shared" si="79"/>
        <v>0.5</v>
      </c>
      <c r="G551" s="212">
        <f>5</f>
        <v>5</v>
      </c>
      <c r="H551" s="212">
        <f t="shared" si="77"/>
        <v>48.369444361539173</v>
      </c>
      <c r="I551" s="212">
        <f t="shared" si="80"/>
        <v>0.9</v>
      </c>
      <c r="J551" s="212">
        <f>1</f>
        <v>1</v>
      </c>
      <c r="K551" s="212">
        <f t="shared" si="81"/>
        <v>4.1870000000000003</v>
      </c>
      <c r="L551" s="212"/>
      <c r="M551" s="212"/>
      <c r="N551" s="212"/>
      <c r="O551" s="212"/>
      <c r="P551" s="212"/>
      <c r="Q551" s="212"/>
      <c r="R551" s="212"/>
      <c r="S551" s="212"/>
      <c r="T551" s="212"/>
      <c r="U551" s="212"/>
      <c r="V551" s="212"/>
      <c r="W551" s="212"/>
      <c r="X551" s="212"/>
      <c r="Y551" s="212"/>
      <c r="Z551" s="212"/>
      <c r="AA551" s="212"/>
      <c r="AB551" s="212"/>
      <c r="AC551" s="196"/>
      <c r="AD551" s="27"/>
      <c r="AE551" s="213"/>
      <c r="AF551" s="212">
        <f t="shared" si="82"/>
        <v>-4.7543200487609738E-9</v>
      </c>
      <c r="AG551" s="212"/>
      <c r="AH551" s="212"/>
      <c r="AI551" s="212"/>
      <c r="AJ551" s="212"/>
      <c r="AK551" s="212"/>
      <c r="AL551" s="212"/>
      <c r="AM551" s="212"/>
      <c r="AN551" s="212"/>
      <c r="AO551" s="212"/>
      <c r="AP551" s="196"/>
      <c r="AQ551" s="196"/>
      <c r="AR551" s="211"/>
      <c r="AS551" s="212">
        <f t="shared" si="74"/>
        <v>-1.190205978218728E-10</v>
      </c>
      <c r="AT551" s="212">
        <f>[1]!LIM(AT550+Mode*r0*((1+IntegrationStep/2/Ti+Td/IntegrationStep)*AS551-(1-IntegrationStep/2/Ti+2*Td/IntegrationStep)*AS550+Td/IntegrationStep*AS549))</f>
        <v>0.40307870301282644</v>
      </c>
      <c r="AU551" s="212">
        <f t="shared" si="75"/>
        <v>40.794124671602574</v>
      </c>
      <c r="AW551" s="58"/>
      <c r="AX551" s="58"/>
      <c r="AY551" s="58"/>
      <c r="AZ551" s="58"/>
    </row>
    <row r="552" spans="1:52" s="185" customFormat="1" ht="15" customHeight="1" x14ac:dyDescent="0.25">
      <c r="A552" s="200"/>
      <c r="B552" s="211"/>
      <c r="C552" s="212">
        <f t="shared" si="76"/>
        <v>54.100000000000499</v>
      </c>
      <c r="D552" s="231">
        <f>15+[1]!STEPLOAD(5)</f>
        <v>20</v>
      </c>
      <c r="E552" s="212">
        <f t="shared" si="78"/>
        <v>40.794124683029203</v>
      </c>
      <c r="F552" s="212">
        <f t="shared" si="79"/>
        <v>0.5</v>
      </c>
      <c r="G552" s="212">
        <f>5</f>
        <v>5</v>
      </c>
      <c r="H552" s="212">
        <f t="shared" si="77"/>
        <v>48.369444364847979</v>
      </c>
      <c r="I552" s="212">
        <f t="shared" si="80"/>
        <v>0.9</v>
      </c>
      <c r="J552" s="212">
        <f>1</f>
        <v>1</v>
      </c>
      <c r="K552" s="212">
        <f t="shared" si="81"/>
        <v>4.1870000000000003</v>
      </c>
      <c r="L552" s="212"/>
      <c r="M552" s="212"/>
      <c r="N552" s="212"/>
      <c r="O552" s="212"/>
      <c r="P552" s="212"/>
      <c r="Q552" s="212"/>
      <c r="R552" s="212"/>
      <c r="S552" s="212"/>
      <c r="T552" s="212"/>
      <c r="U552" s="212"/>
      <c r="V552" s="212"/>
      <c r="W552" s="212"/>
      <c r="X552" s="212"/>
      <c r="Y552" s="212"/>
      <c r="Z552" s="212"/>
      <c r="AA552" s="212"/>
      <c r="AB552" s="212"/>
      <c r="AC552" s="196"/>
      <c r="AD552" s="27"/>
      <c r="AE552" s="213"/>
      <c r="AF552" s="212">
        <f t="shared" si="82"/>
        <v>-4.5645314195041919E-9</v>
      </c>
      <c r="AG552" s="212"/>
      <c r="AH552" s="212"/>
      <c r="AI552" s="212"/>
      <c r="AJ552" s="212"/>
      <c r="AK552" s="212"/>
      <c r="AL552" s="212"/>
      <c r="AM552" s="212"/>
      <c r="AN552" s="212"/>
      <c r="AO552" s="212"/>
      <c r="AP552" s="196"/>
      <c r="AQ552" s="196"/>
      <c r="AR552" s="211"/>
      <c r="AS552" s="212">
        <f t="shared" si="74"/>
        <v>-1.1426628532262839E-10</v>
      </c>
      <c r="AT552" s="212">
        <f>[1]!LIM(AT551+Mode*r0*((1+IntegrationStep/2/Ti+Td/IntegrationStep)*AS552-(1-IntegrationStep/2/Ti+2*Td/IntegrationStep)*AS551+Td/IntegrationStep*AS550))</f>
        <v>0.40307870304039983</v>
      </c>
      <c r="AU552" s="212">
        <f t="shared" si="75"/>
        <v>40.794124671602574</v>
      </c>
      <c r="AW552" s="58"/>
      <c r="AX552" s="58"/>
      <c r="AY552" s="58"/>
      <c r="AZ552" s="58"/>
    </row>
    <row r="553" spans="1:52" s="185" customFormat="1" ht="15" customHeight="1" x14ac:dyDescent="0.25">
      <c r="A553" s="200"/>
      <c r="B553" s="211"/>
      <c r="C553" s="212">
        <f t="shared" si="76"/>
        <v>54.2000000000005</v>
      </c>
      <c r="D553" s="231">
        <f>15+[1]!STEPLOAD(5)</f>
        <v>20</v>
      </c>
      <c r="E553" s="212">
        <f t="shared" si="78"/>
        <v>40.79412468257275</v>
      </c>
      <c r="F553" s="212">
        <f t="shared" si="79"/>
        <v>0.5</v>
      </c>
      <c r="G553" s="212">
        <f>5</f>
        <v>5</v>
      </c>
      <c r="H553" s="212">
        <f t="shared" si="77"/>
        <v>48.369444368024844</v>
      </c>
      <c r="I553" s="212">
        <f t="shared" si="80"/>
        <v>0.9</v>
      </c>
      <c r="J553" s="212">
        <f>1</f>
        <v>1</v>
      </c>
      <c r="K553" s="212">
        <f t="shared" si="81"/>
        <v>4.1870000000000003</v>
      </c>
      <c r="L553" s="212"/>
      <c r="M553" s="212"/>
      <c r="N553" s="212"/>
      <c r="O553" s="212"/>
      <c r="P553" s="212"/>
      <c r="Q553" s="212"/>
      <c r="R553" s="212"/>
      <c r="S553" s="212"/>
      <c r="T553" s="212"/>
      <c r="U553" s="212"/>
      <c r="V553" s="212"/>
      <c r="W553" s="212"/>
      <c r="X553" s="212"/>
      <c r="Y553" s="212"/>
      <c r="Z553" s="212"/>
      <c r="AA553" s="212"/>
      <c r="AB553" s="212"/>
      <c r="AC553" s="196"/>
      <c r="AD553" s="27"/>
      <c r="AE553" s="213"/>
      <c r="AF553" s="212">
        <f t="shared" si="82"/>
        <v>-4.3823118467400946E-9</v>
      </c>
      <c r="AG553" s="212"/>
      <c r="AH553" s="212"/>
      <c r="AI553" s="212"/>
      <c r="AJ553" s="212"/>
      <c r="AK553" s="212"/>
      <c r="AL553" s="212"/>
      <c r="AM553" s="212"/>
      <c r="AN553" s="212"/>
      <c r="AO553" s="212"/>
      <c r="AP553" s="196"/>
      <c r="AQ553" s="196"/>
      <c r="AR553" s="211"/>
      <c r="AS553" s="212">
        <f t="shared" si="74"/>
        <v>-1.0970175878810551E-10</v>
      </c>
      <c r="AT553" s="212">
        <f>[1]!LIM(AT552+Mode*r0*((1+IntegrationStep/2/Ti+Td/IntegrationStep)*AS553-(1-IntegrationStep/2/Ti+2*Td/IntegrationStep)*AS552+Td/IntegrationStep*AS551))</f>
        <v>0.40307870306687371</v>
      </c>
      <c r="AU553" s="212">
        <f t="shared" si="75"/>
        <v>40.794124671602574</v>
      </c>
      <c r="AW553" s="58"/>
      <c r="AX553" s="58"/>
      <c r="AY553" s="58"/>
      <c r="AZ553" s="58"/>
    </row>
    <row r="554" spans="1:52" s="185" customFormat="1" ht="15" customHeight="1" x14ac:dyDescent="0.25">
      <c r="A554" s="200"/>
      <c r="B554" s="211"/>
      <c r="C554" s="212">
        <f t="shared" si="76"/>
        <v>54.300000000000502</v>
      </c>
      <c r="D554" s="231">
        <f>15+[1]!STEPLOAD(5)</f>
        <v>20</v>
      </c>
      <c r="E554" s="212">
        <f t="shared" si="78"/>
        <v>40.794124682134516</v>
      </c>
      <c r="F554" s="212">
        <f t="shared" si="79"/>
        <v>0.5</v>
      </c>
      <c r="G554" s="212">
        <f>5</f>
        <v>5</v>
      </c>
      <c r="H554" s="212">
        <f t="shared" si="77"/>
        <v>48.369444371075083</v>
      </c>
      <c r="I554" s="212">
        <f t="shared" si="80"/>
        <v>0.9</v>
      </c>
      <c r="J554" s="212">
        <f>1</f>
        <v>1</v>
      </c>
      <c r="K554" s="212">
        <f t="shared" si="81"/>
        <v>4.1870000000000003</v>
      </c>
      <c r="L554" s="212"/>
      <c r="M554" s="212"/>
      <c r="N554" s="212"/>
      <c r="O554" s="212"/>
      <c r="P554" s="212"/>
      <c r="Q554" s="212"/>
      <c r="R554" s="212"/>
      <c r="S554" s="212"/>
      <c r="T554" s="212"/>
      <c r="U554" s="212"/>
      <c r="V554" s="212"/>
      <c r="W554" s="212"/>
      <c r="X554" s="212"/>
      <c r="Y554" s="212"/>
      <c r="Z554" s="212"/>
      <c r="AA554" s="212"/>
      <c r="AB554" s="212"/>
      <c r="AC554" s="196"/>
      <c r="AD554" s="27"/>
      <c r="AE554" s="213"/>
      <c r="AF554" s="212">
        <f t="shared" si="82"/>
        <v>-4.207358017538354E-9</v>
      </c>
      <c r="AG554" s="212"/>
      <c r="AH554" s="212"/>
      <c r="AI554" s="212"/>
      <c r="AJ554" s="212"/>
      <c r="AK554" s="212"/>
      <c r="AL554" s="212"/>
      <c r="AM554" s="212"/>
      <c r="AN554" s="212"/>
      <c r="AO554" s="212"/>
      <c r="AP554" s="196"/>
      <c r="AQ554" s="196"/>
      <c r="AR554" s="211"/>
      <c r="AS554" s="212">
        <f t="shared" si="74"/>
        <v>-1.0531941541103151E-10</v>
      </c>
      <c r="AT554" s="212">
        <f>[1]!LIM(AT553+Mode*r0*((1+IntegrationStep/2/Ti+Td/IntegrationStep)*AS554-(1-IntegrationStep/2/Ti+2*Td/IntegrationStep)*AS553+Td/IntegrationStep*AS552))</f>
        <v>0.40307870309229238</v>
      </c>
      <c r="AU554" s="212">
        <f t="shared" si="75"/>
        <v>40.794124671602574</v>
      </c>
      <c r="AW554" s="58"/>
      <c r="AX554" s="58"/>
      <c r="AY554" s="58"/>
      <c r="AZ554" s="58"/>
    </row>
    <row r="555" spans="1:52" s="185" customFormat="1" ht="15" customHeight="1" x14ac:dyDescent="0.25">
      <c r="A555" s="200"/>
      <c r="B555" s="211"/>
      <c r="C555" s="212">
        <f t="shared" si="76"/>
        <v>54.400000000000503</v>
      </c>
      <c r="D555" s="231">
        <f>15+[1]!STEPLOAD(5)</f>
        <v>20</v>
      </c>
      <c r="E555" s="212">
        <f t="shared" si="78"/>
        <v>40.794124681713782</v>
      </c>
      <c r="F555" s="212">
        <f t="shared" si="79"/>
        <v>0.5</v>
      </c>
      <c r="G555" s="212">
        <f>5</f>
        <v>5</v>
      </c>
      <c r="H555" s="212">
        <f t="shared" si="77"/>
        <v>48.369444374003585</v>
      </c>
      <c r="I555" s="212">
        <f t="shared" si="80"/>
        <v>0.9</v>
      </c>
      <c r="J555" s="212">
        <f>1</f>
        <v>1</v>
      </c>
      <c r="K555" s="212">
        <f t="shared" si="81"/>
        <v>4.1870000000000003</v>
      </c>
      <c r="L555" s="212"/>
      <c r="M555" s="212"/>
      <c r="N555" s="212"/>
      <c r="O555" s="212"/>
      <c r="P555" s="212"/>
      <c r="Q555" s="212"/>
      <c r="R555" s="212"/>
      <c r="S555" s="212"/>
      <c r="T555" s="212"/>
      <c r="U555" s="212"/>
      <c r="V555" s="212"/>
      <c r="W555" s="212"/>
      <c r="X555" s="212"/>
      <c r="Y555" s="212"/>
      <c r="Z555" s="212"/>
      <c r="AA555" s="212"/>
      <c r="AB555" s="212"/>
      <c r="AC555" s="196"/>
      <c r="AD555" s="27"/>
      <c r="AE555" s="213"/>
      <c r="AF555" s="212">
        <f t="shared" si="82"/>
        <v>-4.0393874911615057E-9</v>
      </c>
      <c r="AG555" s="212"/>
      <c r="AH555" s="212"/>
      <c r="AI555" s="212"/>
      <c r="AJ555" s="212"/>
      <c r="AK555" s="212"/>
      <c r="AL555" s="212"/>
      <c r="AM555" s="212"/>
      <c r="AN555" s="212"/>
      <c r="AO555" s="212"/>
      <c r="AP555" s="196"/>
      <c r="AQ555" s="196"/>
      <c r="AR555" s="211"/>
      <c r="AS555" s="212">
        <f t="shared" si="74"/>
        <v>-1.0111207870977523E-10</v>
      </c>
      <c r="AT555" s="212">
        <f>[1]!LIM(AT554+Mode*r0*((1+IntegrationStep/2/Ti+Td/IntegrationStep)*AS555-(1-IntegrationStep/2/Ti+2*Td/IntegrationStep)*AS554+Td/IntegrationStep*AS553))</f>
        <v>0.40307870311669652</v>
      </c>
      <c r="AU555" s="212">
        <f t="shared" si="75"/>
        <v>40.794124671602574</v>
      </c>
      <c r="AW555" s="58"/>
      <c r="AX555" s="58"/>
      <c r="AY555" s="58"/>
      <c r="AZ555" s="58"/>
    </row>
    <row r="556" spans="1:52" s="185" customFormat="1" ht="15" customHeight="1" x14ac:dyDescent="0.25">
      <c r="A556" s="200"/>
      <c r="B556" s="211"/>
      <c r="C556" s="212">
        <f t="shared" si="76"/>
        <v>54.500000000000504</v>
      </c>
      <c r="D556" s="231">
        <f>15+[1]!STEPLOAD(5)</f>
        <v>20</v>
      </c>
      <c r="E556" s="212">
        <f t="shared" si="78"/>
        <v>40.794124681309846</v>
      </c>
      <c r="F556" s="212">
        <f t="shared" si="79"/>
        <v>0.5</v>
      </c>
      <c r="G556" s="212">
        <f>5</f>
        <v>5</v>
      </c>
      <c r="H556" s="212">
        <f t="shared" si="77"/>
        <v>48.369444376815281</v>
      </c>
      <c r="I556" s="212">
        <f t="shared" si="80"/>
        <v>0.9</v>
      </c>
      <c r="J556" s="212">
        <f>1</f>
        <v>1</v>
      </c>
      <c r="K556" s="212">
        <f t="shared" si="81"/>
        <v>4.1870000000000003</v>
      </c>
      <c r="L556" s="212"/>
      <c r="M556" s="212"/>
      <c r="N556" s="212"/>
      <c r="O556" s="212"/>
      <c r="P556" s="212"/>
      <c r="Q556" s="212"/>
      <c r="R556" s="212"/>
      <c r="S556" s="212"/>
      <c r="T556" s="212"/>
      <c r="U556" s="212"/>
      <c r="V556" s="212"/>
      <c r="W556" s="212"/>
      <c r="X556" s="212"/>
      <c r="Y556" s="212"/>
      <c r="Z556" s="212"/>
      <c r="AA556" s="212"/>
      <c r="AB556" s="212"/>
      <c r="AC556" s="196"/>
      <c r="AD556" s="27"/>
      <c r="AE556" s="213"/>
      <c r="AF556" s="212">
        <f t="shared" si="82"/>
        <v>-3.8781187150505048E-9</v>
      </c>
      <c r="AG556" s="212"/>
      <c r="AH556" s="212"/>
      <c r="AI556" s="212"/>
      <c r="AJ556" s="212"/>
      <c r="AK556" s="212"/>
      <c r="AL556" s="212"/>
      <c r="AM556" s="212"/>
      <c r="AN556" s="212"/>
      <c r="AO556" s="212"/>
      <c r="AP556" s="196"/>
      <c r="AQ556" s="196"/>
      <c r="AR556" s="211"/>
      <c r="AS556" s="212">
        <f t="shared" si="74"/>
        <v>-9.7072714311252642E-11</v>
      </c>
      <c r="AT556" s="212">
        <f>[1]!LIM(AT555+Mode*r0*((1+IntegrationStep/2/Ti+Td/IntegrationStep)*AS556-(1-IntegrationStep/2/Ti+2*Td/IntegrationStep)*AS555+Td/IntegrationStep*AS554))</f>
        <v>0.40307870314012734</v>
      </c>
      <c r="AU556" s="212">
        <f t="shared" si="75"/>
        <v>40.794124671602574</v>
      </c>
      <c r="AW556" s="58"/>
      <c r="AX556" s="58"/>
      <c r="AY556" s="58"/>
      <c r="AZ556" s="58"/>
    </row>
    <row r="557" spans="1:52" s="185" customFormat="1" ht="15" customHeight="1" x14ac:dyDescent="0.25">
      <c r="A557" s="200"/>
      <c r="B557" s="211"/>
      <c r="C557" s="212">
        <f t="shared" si="76"/>
        <v>54.600000000000506</v>
      </c>
      <c r="D557" s="231">
        <f>15+[1]!STEPLOAD(5)</f>
        <v>20</v>
      </c>
      <c r="E557" s="212">
        <f t="shared" si="78"/>
        <v>40.794124680922032</v>
      </c>
      <c r="F557" s="212">
        <f t="shared" si="79"/>
        <v>0.5</v>
      </c>
      <c r="G557" s="212">
        <f>5</f>
        <v>5</v>
      </c>
      <c r="H557" s="212">
        <f t="shared" si="77"/>
        <v>48.369444379514924</v>
      </c>
      <c r="I557" s="212">
        <f t="shared" si="80"/>
        <v>0.9</v>
      </c>
      <c r="J557" s="212">
        <f>1</f>
        <v>1</v>
      </c>
      <c r="K557" s="212">
        <f t="shared" si="81"/>
        <v>4.1870000000000003</v>
      </c>
      <c r="L557" s="212"/>
      <c r="M557" s="212"/>
      <c r="N557" s="212"/>
      <c r="O557" s="212"/>
      <c r="P557" s="212"/>
      <c r="Q557" s="212"/>
      <c r="R557" s="212"/>
      <c r="S557" s="212"/>
      <c r="T557" s="212"/>
      <c r="U557" s="212"/>
      <c r="V557" s="212"/>
      <c r="W557" s="212"/>
      <c r="X557" s="212"/>
      <c r="Y557" s="212"/>
      <c r="Z557" s="212"/>
      <c r="AA557" s="212"/>
      <c r="AB557" s="212"/>
      <c r="AC557" s="196"/>
      <c r="AD557" s="27"/>
      <c r="AE557" s="213"/>
      <c r="AF557" s="212">
        <f t="shared" si="82"/>
        <v>-3.7232790184305031E-9</v>
      </c>
      <c r="AG557" s="212"/>
      <c r="AH557" s="212"/>
      <c r="AI557" s="212"/>
      <c r="AJ557" s="212"/>
      <c r="AK557" s="212"/>
      <c r="AL557" s="212"/>
      <c r="AM557" s="212"/>
      <c r="AN557" s="212"/>
      <c r="AO557" s="212"/>
      <c r="AP557" s="196"/>
      <c r="AQ557" s="196"/>
      <c r="AR557" s="211"/>
      <c r="AS557" s="212">
        <f t="shared" si="74"/>
        <v>-9.3194572059474008E-11</v>
      </c>
      <c r="AT557" s="212">
        <f>[1]!LIM(AT556+Mode*r0*((1+IntegrationStep/2/Ti+Td/IntegrationStep)*AS557-(1-IntegrationStep/2/Ti+2*Td/IntegrationStep)*AS556+Td/IntegrationStep*AS555))</f>
        <v>0.40307870316262434</v>
      </c>
      <c r="AU557" s="212">
        <f t="shared" si="75"/>
        <v>40.794124671602574</v>
      </c>
      <c r="AW557" s="58"/>
      <c r="AX557" s="58"/>
      <c r="AY557" s="58"/>
      <c r="AZ557" s="58"/>
    </row>
    <row r="558" spans="1:52" s="185" customFormat="1" ht="15" customHeight="1" x14ac:dyDescent="0.25">
      <c r="A558" s="200"/>
      <c r="B558" s="211"/>
      <c r="C558" s="212">
        <f t="shared" si="76"/>
        <v>54.700000000000507</v>
      </c>
      <c r="D558" s="231">
        <f>15+[1]!STEPLOAD(5)</f>
        <v>20</v>
      </c>
      <c r="E558" s="212">
        <f t="shared" si="78"/>
        <v>40.794124680549707</v>
      </c>
      <c r="F558" s="212">
        <f t="shared" si="79"/>
        <v>0.5</v>
      </c>
      <c r="G558" s="212">
        <f>5</f>
        <v>5</v>
      </c>
      <c r="H558" s="212">
        <f t="shared" si="77"/>
        <v>48.369444382106778</v>
      </c>
      <c r="I558" s="212">
        <f t="shared" si="80"/>
        <v>0.9</v>
      </c>
      <c r="J558" s="212">
        <f>1</f>
        <v>1</v>
      </c>
      <c r="K558" s="212">
        <f t="shared" si="81"/>
        <v>4.1870000000000003</v>
      </c>
      <c r="L558" s="212"/>
      <c r="M558" s="212"/>
      <c r="N558" s="212"/>
      <c r="O558" s="212"/>
      <c r="P558" s="212"/>
      <c r="Q558" s="212"/>
      <c r="R558" s="212"/>
      <c r="S558" s="212"/>
      <c r="T558" s="212"/>
      <c r="U558" s="212"/>
      <c r="V558" s="212"/>
      <c r="W558" s="212"/>
      <c r="X558" s="212"/>
      <c r="Y558" s="212"/>
      <c r="Z558" s="212"/>
      <c r="AA558" s="212"/>
      <c r="AB558" s="212"/>
      <c r="AC558" s="196"/>
      <c r="AD558" s="27"/>
      <c r="AE558" s="213"/>
      <c r="AF558" s="212">
        <f t="shared" si="82"/>
        <v>-3.5746223758792439E-9</v>
      </c>
      <c r="AG558" s="212"/>
      <c r="AH558" s="212"/>
      <c r="AI558" s="212"/>
      <c r="AJ558" s="212"/>
      <c r="AK558" s="212"/>
      <c r="AL558" s="212"/>
      <c r="AM558" s="212"/>
      <c r="AN558" s="212"/>
      <c r="AO558" s="212"/>
      <c r="AP558" s="196"/>
      <c r="AQ558" s="196"/>
      <c r="AR558" s="211"/>
      <c r="AS558" s="212">
        <f t="shared" si="74"/>
        <v>-8.9471328124091083E-11</v>
      </c>
      <c r="AT558" s="212">
        <f>[1]!LIM(AT557+Mode*r0*((1+IntegrationStep/2/Ti+Td/IntegrationStep)*AS558-(1-IntegrationStep/2/Ti+2*Td/IntegrationStep)*AS557+Td/IntegrationStep*AS556))</f>
        <v>0.40307870318422312</v>
      </c>
      <c r="AU558" s="212">
        <f t="shared" si="75"/>
        <v>40.794124671602574</v>
      </c>
      <c r="AW558" s="58"/>
      <c r="AX558" s="58"/>
      <c r="AY558" s="58"/>
      <c r="AZ558" s="58"/>
    </row>
    <row r="559" spans="1:52" s="185" customFormat="1" ht="15" customHeight="1" x14ac:dyDescent="0.25">
      <c r="A559" s="200"/>
      <c r="B559" s="211"/>
      <c r="C559" s="212">
        <f t="shared" si="76"/>
        <v>54.800000000000509</v>
      </c>
      <c r="D559" s="231">
        <f>15+[1]!STEPLOAD(5)</f>
        <v>20</v>
      </c>
      <c r="E559" s="212">
        <f t="shared" si="78"/>
        <v>40.794124680192247</v>
      </c>
      <c r="F559" s="212">
        <f t="shared" si="79"/>
        <v>0.5</v>
      </c>
      <c r="G559" s="212">
        <f>5</f>
        <v>5</v>
      </c>
      <c r="H559" s="212">
        <f t="shared" si="77"/>
        <v>48.369444384595269</v>
      </c>
      <c r="I559" s="212">
        <f t="shared" si="80"/>
        <v>0.9</v>
      </c>
      <c r="J559" s="212">
        <f>1</f>
        <v>1</v>
      </c>
      <c r="K559" s="212">
        <f t="shared" si="81"/>
        <v>4.1870000000000003</v>
      </c>
      <c r="L559" s="212"/>
      <c r="M559" s="212"/>
      <c r="N559" s="212"/>
      <c r="O559" s="212"/>
      <c r="P559" s="212"/>
      <c r="Q559" s="212"/>
      <c r="R559" s="212"/>
      <c r="S559" s="212"/>
      <c r="T559" s="212"/>
      <c r="U559" s="212"/>
      <c r="V559" s="212"/>
      <c r="W559" s="212"/>
      <c r="X559" s="212"/>
      <c r="Y559" s="212"/>
      <c r="Z559" s="212"/>
      <c r="AA559" s="212"/>
      <c r="AB559" s="212"/>
      <c r="AC559" s="196"/>
      <c r="AD559" s="27"/>
      <c r="AE559" s="213"/>
      <c r="AF559" s="212">
        <f t="shared" si="82"/>
        <v>-3.4318952124579027E-9</v>
      </c>
      <c r="AG559" s="212"/>
      <c r="AH559" s="212"/>
      <c r="AI559" s="212"/>
      <c r="AJ559" s="212"/>
      <c r="AK559" s="212"/>
      <c r="AL559" s="212"/>
      <c r="AM559" s="212"/>
      <c r="AN559" s="212"/>
      <c r="AO559" s="212"/>
      <c r="AP559" s="196"/>
      <c r="AQ559" s="196"/>
      <c r="AR559" s="211"/>
      <c r="AS559" s="212">
        <f t="shared" si="74"/>
        <v>-8.5896729729029171E-11</v>
      </c>
      <c r="AT559" s="212">
        <f>[1]!LIM(AT558+Mode*r0*((1+IntegrationStep/2/Ti+Td/IntegrationStep)*AS559-(1-IntegrationStep/2/Ti+2*Td/IntegrationStep)*AS558+Td/IntegrationStep*AS557))</f>
        <v>0.40307870320496059</v>
      </c>
      <c r="AU559" s="212">
        <f t="shared" si="75"/>
        <v>40.794124671602574</v>
      </c>
      <c r="AW559" s="58"/>
      <c r="AX559" s="58"/>
      <c r="AY559" s="58"/>
      <c r="AZ559" s="58"/>
    </row>
    <row r="560" spans="1:52" s="185" customFormat="1" ht="15" customHeight="1" x14ac:dyDescent="0.25">
      <c r="A560" s="200"/>
      <c r="B560" s="211"/>
      <c r="C560" s="212">
        <f t="shared" si="76"/>
        <v>54.90000000000051</v>
      </c>
      <c r="D560" s="231">
        <f>15+[1]!STEPLOAD(5)</f>
        <v>20</v>
      </c>
      <c r="E560" s="212">
        <f t="shared" si="78"/>
        <v>40.794124679849055</v>
      </c>
      <c r="F560" s="212">
        <f t="shared" si="79"/>
        <v>0.5</v>
      </c>
      <c r="G560" s="212">
        <f>5</f>
        <v>5</v>
      </c>
      <c r="H560" s="212">
        <f t="shared" si="77"/>
        <v>48.36944438698459</v>
      </c>
      <c r="I560" s="212">
        <f t="shared" si="80"/>
        <v>0.9</v>
      </c>
      <c r="J560" s="212">
        <f>1</f>
        <v>1</v>
      </c>
      <c r="K560" s="212">
        <f t="shared" si="81"/>
        <v>4.1870000000000003</v>
      </c>
      <c r="L560" s="212"/>
      <c r="M560" s="212"/>
      <c r="N560" s="212"/>
      <c r="O560" s="212"/>
      <c r="P560" s="212"/>
      <c r="Q560" s="212"/>
      <c r="R560" s="212"/>
      <c r="S560" s="212"/>
      <c r="T560" s="212"/>
      <c r="U560" s="212"/>
      <c r="V560" s="212"/>
      <c r="W560" s="212"/>
      <c r="X560" s="212"/>
      <c r="Y560" s="212"/>
      <c r="Z560" s="212"/>
      <c r="AA560" s="212"/>
      <c r="AB560" s="212"/>
      <c r="AC560" s="196"/>
      <c r="AD560" s="27"/>
      <c r="AE560" s="213"/>
      <c r="AF560" s="212">
        <f t="shared" si="82"/>
        <v>-3.2948586081715803E-9</v>
      </c>
      <c r="AG560" s="212"/>
      <c r="AH560" s="212"/>
      <c r="AI560" s="212"/>
      <c r="AJ560" s="212"/>
      <c r="AK560" s="212"/>
      <c r="AL560" s="212"/>
      <c r="AM560" s="212"/>
      <c r="AN560" s="212"/>
      <c r="AO560" s="212"/>
      <c r="AP560" s="196"/>
      <c r="AQ560" s="196"/>
      <c r="AR560" s="211"/>
      <c r="AS560" s="212">
        <f t="shared" si="74"/>
        <v>-8.2464808315307887E-11</v>
      </c>
      <c r="AT560" s="212">
        <f>[1]!LIM(AT559+Mode*r0*((1+IntegrationStep/2/Ti+Td/IntegrationStep)*AS560-(1-IntegrationStep/2/Ti+2*Td/IntegrationStep)*AS559+Td/IntegrationStep*AS558))</f>
        <v>0.4030787032248716</v>
      </c>
      <c r="AU560" s="212">
        <f t="shared" si="75"/>
        <v>40.794124671602574</v>
      </c>
      <c r="AW560" s="58"/>
      <c r="AX560" s="58"/>
      <c r="AY560" s="58"/>
      <c r="AZ560" s="58"/>
    </row>
    <row r="561" spans="1:52" s="185" customFormat="1" ht="15" customHeight="1" x14ac:dyDescent="0.25">
      <c r="A561" s="200"/>
      <c r="B561" s="211"/>
      <c r="C561" s="212">
        <f t="shared" si="76"/>
        <v>55.000000000000512</v>
      </c>
      <c r="D561" s="231">
        <f>15+[1]!STEPLOAD(5)</f>
        <v>20</v>
      </c>
      <c r="E561" s="212">
        <f t="shared" si="78"/>
        <v>40.79412467951957</v>
      </c>
      <c r="F561" s="212">
        <f t="shared" si="79"/>
        <v>0.5</v>
      </c>
      <c r="G561" s="212">
        <f>5</f>
        <v>5</v>
      </c>
      <c r="H561" s="212">
        <f t="shared" si="77"/>
        <v>48.369444389278556</v>
      </c>
      <c r="I561" s="212">
        <f t="shared" si="80"/>
        <v>0.9</v>
      </c>
      <c r="J561" s="212">
        <f>1</f>
        <v>1</v>
      </c>
      <c r="K561" s="212">
        <f t="shared" si="81"/>
        <v>4.1870000000000003</v>
      </c>
      <c r="L561" s="212"/>
      <c r="M561" s="212"/>
      <c r="N561" s="212"/>
      <c r="O561" s="212"/>
      <c r="P561" s="212"/>
      <c r="Q561" s="212"/>
      <c r="R561" s="212"/>
      <c r="S561" s="212"/>
      <c r="T561" s="212"/>
      <c r="U561" s="212"/>
      <c r="V561" s="212"/>
      <c r="W561" s="212"/>
      <c r="X561" s="212"/>
      <c r="Y561" s="212"/>
      <c r="Z561" s="212"/>
      <c r="AA561" s="212"/>
      <c r="AB561" s="212"/>
      <c r="AC561" s="196"/>
      <c r="AD561" s="27"/>
      <c r="AE561" s="213"/>
      <c r="AF561" s="212">
        <f t="shared" si="82"/>
        <v>-3.1632922947721909E-9</v>
      </c>
      <c r="AG561" s="212"/>
      <c r="AH561" s="212"/>
      <c r="AI561" s="212"/>
      <c r="AJ561" s="212"/>
      <c r="AK561" s="212"/>
      <c r="AL561" s="212"/>
      <c r="AM561" s="212"/>
      <c r="AN561" s="212"/>
      <c r="AO561" s="212"/>
      <c r="AP561" s="196"/>
      <c r="AQ561" s="196"/>
      <c r="AR561" s="211"/>
      <c r="AS561" s="212">
        <f t="shared" si="74"/>
        <v>-7.9169950595314733E-11</v>
      </c>
      <c r="AT561" s="212">
        <f>[1]!LIM(AT560+Mode*r0*((1+IntegrationStep/2/Ti+Td/IntegrationStep)*AS561-(1-IntegrationStep/2/Ti+2*Td/IntegrationStep)*AS560+Td/IntegrationStep*AS559))</f>
        <v>0.40307870324398798</v>
      </c>
      <c r="AU561" s="212">
        <f t="shared" si="75"/>
        <v>40.794124671602574</v>
      </c>
      <c r="AW561" s="58"/>
      <c r="AX561" s="58"/>
      <c r="AY561" s="58"/>
      <c r="AZ561" s="58"/>
    </row>
    <row r="562" spans="1:52" s="185" customFormat="1" ht="15" customHeight="1" x14ac:dyDescent="0.25">
      <c r="A562" s="200"/>
      <c r="B562" s="211"/>
      <c r="C562" s="212">
        <f t="shared" si="76"/>
        <v>55.100000000000513</v>
      </c>
      <c r="D562" s="231">
        <f>15+[1]!STEPLOAD(5)</f>
        <v>20</v>
      </c>
      <c r="E562" s="212">
        <f t="shared" si="78"/>
        <v>40.794124679203243</v>
      </c>
      <c r="F562" s="212">
        <f t="shared" si="79"/>
        <v>0.5</v>
      </c>
      <c r="G562" s="212">
        <f>5</f>
        <v>5</v>
      </c>
      <c r="H562" s="212">
        <f t="shared" si="77"/>
        <v>48.369444391480961</v>
      </c>
      <c r="I562" s="212">
        <f t="shared" si="80"/>
        <v>0.9</v>
      </c>
      <c r="J562" s="212">
        <f>1</f>
        <v>1</v>
      </c>
      <c r="K562" s="212">
        <f t="shared" si="81"/>
        <v>4.1870000000000003</v>
      </c>
      <c r="L562" s="212"/>
      <c r="M562" s="212"/>
      <c r="N562" s="212"/>
      <c r="O562" s="212"/>
      <c r="P562" s="212"/>
      <c r="Q562" s="212"/>
      <c r="R562" s="212"/>
      <c r="S562" s="212"/>
      <c r="T562" s="212"/>
      <c r="U562" s="212"/>
      <c r="V562" s="212"/>
      <c r="W562" s="212"/>
      <c r="X562" s="212"/>
      <c r="Y562" s="212"/>
      <c r="Z562" s="212"/>
      <c r="AA562" s="212"/>
      <c r="AB562" s="212"/>
      <c r="AC562" s="196"/>
      <c r="AD562" s="27"/>
      <c r="AE562" s="213"/>
      <c r="AF562" s="212">
        <f t="shared" si="82"/>
        <v>-3.0369777803684883E-9</v>
      </c>
      <c r="AG562" s="212"/>
      <c r="AH562" s="212"/>
      <c r="AI562" s="212"/>
      <c r="AJ562" s="212"/>
      <c r="AK562" s="212"/>
      <c r="AL562" s="212"/>
      <c r="AM562" s="212"/>
      <c r="AN562" s="212"/>
      <c r="AO562" s="212"/>
      <c r="AP562" s="196"/>
      <c r="AQ562" s="196"/>
      <c r="AR562" s="211"/>
      <c r="AS562" s="212">
        <f t="shared" si="74"/>
        <v>-7.6006685389984339E-11</v>
      </c>
      <c r="AT562" s="212">
        <f>[1]!LIM(AT561+Mode*r0*((1+IntegrationStep/2/Ti+Td/IntegrationStep)*AS562-(1-IntegrationStep/2/Ti+2*Td/IntegrationStep)*AS561+Td/IntegrationStep*AS560))</f>
        <v>0.40307870326234135</v>
      </c>
      <c r="AU562" s="212">
        <f t="shared" si="75"/>
        <v>40.794124671602574</v>
      </c>
      <c r="AW562" s="58"/>
      <c r="AX562" s="58"/>
      <c r="AY562" s="58"/>
      <c r="AZ562" s="58"/>
    </row>
    <row r="563" spans="1:52" s="185" customFormat="1" ht="15" customHeight="1" x14ac:dyDescent="0.25">
      <c r="A563" s="200"/>
      <c r="B563" s="211"/>
      <c r="C563" s="212">
        <f t="shared" si="76"/>
        <v>55.200000000000514</v>
      </c>
      <c r="D563" s="231">
        <f>15+[1]!STEPLOAD(5)</f>
        <v>20</v>
      </c>
      <c r="E563" s="212">
        <f t="shared" si="78"/>
        <v>40.794124678899543</v>
      </c>
      <c r="F563" s="212">
        <f t="shared" si="79"/>
        <v>0.5</v>
      </c>
      <c r="G563" s="212">
        <f>5</f>
        <v>5</v>
      </c>
      <c r="H563" s="212">
        <f t="shared" si="77"/>
        <v>48.3694443935956</v>
      </c>
      <c r="I563" s="212">
        <f t="shared" si="80"/>
        <v>0.9</v>
      </c>
      <c r="J563" s="212">
        <f>1</f>
        <v>1</v>
      </c>
      <c r="K563" s="212">
        <f t="shared" si="81"/>
        <v>4.1870000000000003</v>
      </c>
      <c r="L563" s="212"/>
      <c r="M563" s="212"/>
      <c r="N563" s="212"/>
      <c r="O563" s="212"/>
      <c r="P563" s="212"/>
      <c r="Q563" s="212"/>
      <c r="R563" s="212"/>
      <c r="S563" s="212"/>
      <c r="T563" s="212"/>
      <c r="U563" s="212"/>
      <c r="V563" s="212"/>
      <c r="W563" s="212"/>
      <c r="X563" s="212"/>
      <c r="Y563" s="212"/>
      <c r="Z563" s="212"/>
      <c r="AA563" s="212"/>
      <c r="AB563" s="212"/>
      <c r="AC563" s="196"/>
      <c r="AD563" s="27"/>
      <c r="AE563" s="213"/>
      <c r="AF563" s="212">
        <f t="shared" si="82"/>
        <v>-2.9156987935152756E-9</v>
      </c>
      <c r="AG563" s="212"/>
      <c r="AH563" s="212"/>
      <c r="AI563" s="212"/>
      <c r="AJ563" s="212"/>
      <c r="AK563" s="212"/>
      <c r="AL563" s="212"/>
      <c r="AM563" s="212"/>
      <c r="AN563" s="212"/>
      <c r="AO563" s="212"/>
      <c r="AP563" s="196"/>
      <c r="AQ563" s="196"/>
      <c r="AR563" s="211"/>
      <c r="AS563" s="212">
        <f t="shared" si="74"/>
        <v>-7.2969683628798519E-11</v>
      </c>
      <c r="AT563" s="212">
        <f>[1]!LIM(AT562+Mode*r0*((1+IntegrationStep/2/Ti+Td/IntegrationStep)*AS563-(1-IntegrationStep/2/Ti+2*Td/IntegrationStep)*AS562+Td/IntegrationStep*AS561))</f>
        <v>0.40307870327996331</v>
      </c>
      <c r="AU563" s="212">
        <f t="shared" si="75"/>
        <v>40.794124671602574</v>
      </c>
      <c r="AW563" s="58"/>
      <c r="AX563" s="58"/>
      <c r="AY563" s="58"/>
      <c r="AZ563" s="58"/>
    </row>
    <row r="564" spans="1:52" s="185" customFormat="1" ht="15" customHeight="1" x14ac:dyDescent="0.25">
      <c r="A564" s="200"/>
      <c r="B564" s="211"/>
      <c r="C564" s="212">
        <f t="shared" si="76"/>
        <v>55.300000000000516</v>
      </c>
      <c r="D564" s="231">
        <f>15+[1]!STEPLOAD(5)</f>
        <v>20</v>
      </c>
      <c r="E564" s="212">
        <f t="shared" si="78"/>
        <v>40.794124678607972</v>
      </c>
      <c r="F564" s="212">
        <f t="shared" si="79"/>
        <v>0.5</v>
      </c>
      <c r="G564" s="212">
        <f>5</f>
        <v>5</v>
      </c>
      <c r="H564" s="212">
        <f t="shared" si="77"/>
        <v>48.369444395625848</v>
      </c>
      <c r="I564" s="212">
        <f t="shared" si="80"/>
        <v>0.9</v>
      </c>
      <c r="J564" s="212">
        <f>1</f>
        <v>1</v>
      </c>
      <c r="K564" s="212">
        <f t="shared" si="81"/>
        <v>4.1870000000000003</v>
      </c>
      <c r="L564" s="212"/>
      <c r="M564" s="212"/>
      <c r="N564" s="212"/>
      <c r="O564" s="212"/>
      <c r="P564" s="212"/>
      <c r="Q564" s="212"/>
      <c r="R564" s="212"/>
      <c r="S564" s="212"/>
      <c r="T564" s="212"/>
      <c r="U564" s="212"/>
      <c r="V564" s="212"/>
      <c r="W564" s="212"/>
      <c r="X564" s="212"/>
      <c r="Y564" s="212"/>
      <c r="Z564" s="212"/>
      <c r="AA564" s="212"/>
      <c r="AB564" s="212"/>
      <c r="AC564" s="196"/>
      <c r="AD564" s="27"/>
      <c r="AE564" s="213"/>
      <c r="AF564" s="212">
        <f t="shared" si="82"/>
        <v>-2.7992612672278483E-9</v>
      </c>
      <c r="AG564" s="212"/>
      <c r="AH564" s="212"/>
      <c r="AI564" s="212"/>
      <c r="AJ564" s="212"/>
      <c r="AK564" s="212"/>
      <c r="AL564" s="212"/>
      <c r="AM564" s="212"/>
      <c r="AN564" s="212"/>
      <c r="AO564" s="212"/>
      <c r="AP564" s="196"/>
      <c r="AQ564" s="196"/>
      <c r="AR564" s="211"/>
      <c r="AS564" s="212">
        <f t="shared" si="74"/>
        <v>-7.0053971512606945E-11</v>
      </c>
      <c r="AT564" s="212">
        <f>[1]!LIM(AT563+Mode*r0*((1+IntegrationStep/2/Ti+Td/IntegrationStep)*AS564-(1-IntegrationStep/2/Ti+2*Td/IntegrationStep)*AS563+Td/IntegrationStep*AS562))</f>
        <v>0.40307870329688206</v>
      </c>
      <c r="AU564" s="212">
        <f t="shared" si="75"/>
        <v>40.794124671602574</v>
      </c>
      <c r="AW564" s="58"/>
      <c r="AX564" s="58"/>
      <c r="AY564" s="58"/>
      <c r="AZ564" s="58"/>
    </row>
    <row r="565" spans="1:52" s="185" customFormat="1" ht="15" customHeight="1" x14ac:dyDescent="0.25">
      <c r="A565" s="200"/>
      <c r="B565" s="211"/>
      <c r="C565" s="212">
        <f t="shared" si="76"/>
        <v>55.400000000000517</v>
      </c>
      <c r="D565" s="231">
        <f>15+[1]!STEPLOAD(5)</f>
        <v>20</v>
      </c>
      <c r="E565" s="212">
        <f t="shared" si="78"/>
        <v>40.794124678328046</v>
      </c>
      <c r="F565" s="212">
        <f t="shared" si="79"/>
        <v>0.5</v>
      </c>
      <c r="G565" s="212">
        <f>5</f>
        <v>5</v>
      </c>
      <c r="H565" s="212">
        <f t="shared" si="77"/>
        <v>48.369444397575059</v>
      </c>
      <c r="I565" s="212">
        <f t="shared" si="80"/>
        <v>0.9</v>
      </c>
      <c r="J565" s="212">
        <f>1</f>
        <v>1</v>
      </c>
      <c r="K565" s="212">
        <f t="shared" si="81"/>
        <v>4.1870000000000003</v>
      </c>
      <c r="L565" s="212"/>
      <c r="M565" s="212"/>
      <c r="N565" s="212"/>
      <c r="O565" s="212"/>
      <c r="P565" s="212"/>
      <c r="Q565" s="212"/>
      <c r="R565" s="212"/>
      <c r="S565" s="212"/>
      <c r="T565" s="212"/>
      <c r="U565" s="212"/>
      <c r="V565" s="212"/>
      <c r="W565" s="212"/>
      <c r="X565" s="212"/>
      <c r="Y565" s="212"/>
      <c r="Z565" s="212"/>
      <c r="AA565" s="212"/>
      <c r="AB565" s="212"/>
      <c r="AC565" s="196"/>
      <c r="AD565" s="27"/>
      <c r="AE565" s="213"/>
      <c r="AF565" s="212">
        <f t="shared" si="82"/>
        <v>-2.6874711345215019E-9</v>
      </c>
      <c r="AG565" s="212"/>
      <c r="AH565" s="212"/>
      <c r="AI565" s="212"/>
      <c r="AJ565" s="212"/>
      <c r="AK565" s="212"/>
      <c r="AL565" s="212"/>
      <c r="AM565" s="212"/>
      <c r="AN565" s="212"/>
      <c r="AO565" s="212"/>
      <c r="AP565" s="196"/>
      <c r="AQ565" s="196"/>
      <c r="AR565" s="211"/>
      <c r="AS565" s="212">
        <f t="shared" si="74"/>
        <v>-6.725471735080646E-11</v>
      </c>
      <c r="AT565" s="212">
        <f>[1]!LIM(AT564+Mode*r0*((1+IntegrationStep/2/Ti+Td/IntegrationStep)*AS565-(1-IntegrationStep/2/Ti+2*Td/IntegrationStep)*AS564+Td/IntegrationStep*AS563))</f>
        <v>0.40307870331312551</v>
      </c>
      <c r="AU565" s="212">
        <f t="shared" si="75"/>
        <v>40.794124671602574</v>
      </c>
      <c r="AW565" s="58"/>
      <c r="AX565" s="58"/>
      <c r="AY565" s="58"/>
      <c r="AZ565" s="58"/>
    </row>
    <row r="566" spans="1:52" s="185" customFormat="1" ht="15" customHeight="1" x14ac:dyDescent="0.25">
      <c r="A566" s="200"/>
      <c r="B566" s="211"/>
      <c r="C566" s="212">
        <f t="shared" si="76"/>
        <v>55.500000000000519</v>
      </c>
      <c r="D566" s="231">
        <f>15+[1]!STEPLOAD(5)</f>
        <v>20</v>
      </c>
      <c r="E566" s="212">
        <f t="shared" si="78"/>
        <v>40.794124678059298</v>
      </c>
      <c r="F566" s="212">
        <f t="shared" si="79"/>
        <v>0.5</v>
      </c>
      <c r="G566" s="212">
        <f>5</f>
        <v>5</v>
      </c>
      <c r="H566" s="212">
        <f t="shared" si="77"/>
        <v>48.369444399446543</v>
      </c>
      <c r="I566" s="212">
        <f t="shared" si="80"/>
        <v>0.9</v>
      </c>
      <c r="J566" s="212">
        <f>1</f>
        <v>1</v>
      </c>
      <c r="K566" s="212">
        <f t="shared" si="81"/>
        <v>4.1870000000000003</v>
      </c>
      <c r="L566" s="212"/>
      <c r="M566" s="212"/>
      <c r="N566" s="212"/>
      <c r="O566" s="212"/>
      <c r="P566" s="212"/>
      <c r="Q566" s="212"/>
      <c r="R566" s="212"/>
      <c r="S566" s="212"/>
      <c r="T566" s="212"/>
      <c r="U566" s="212"/>
      <c r="V566" s="212"/>
      <c r="W566" s="212"/>
      <c r="X566" s="212"/>
      <c r="Y566" s="212"/>
      <c r="Z566" s="212"/>
      <c r="AA566" s="212"/>
      <c r="AB566" s="212"/>
      <c r="AC566" s="196"/>
      <c r="AD566" s="27"/>
      <c r="AE566" s="213"/>
      <c r="AF566" s="212">
        <f t="shared" si="82"/>
        <v>-2.5801414338388895E-9</v>
      </c>
      <c r="AG566" s="212"/>
      <c r="AH566" s="212"/>
      <c r="AI566" s="212"/>
      <c r="AJ566" s="212"/>
      <c r="AK566" s="212"/>
      <c r="AL566" s="212"/>
      <c r="AM566" s="212"/>
      <c r="AN566" s="212"/>
      <c r="AO566" s="212"/>
      <c r="AP566" s="196"/>
      <c r="AQ566" s="196"/>
      <c r="AR566" s="211"/>
      <c r="AS566" s="212">
        <f t="shared" si="74"/>
        <v>-6.4567231561341037E-11</v>
      </c>
      <c r="AT566" s="212">
        <f>[1]!LIM(AT565+Mode*r0*((1+IntegrationStep/2/Ti+Td/IntegrationStep)*AS566-(1-IntegrationStep/2/Ti+2*Td/IntegrationStep)*AS565+Td/IntegrationStep*AS564))</f>
        <v>0.4030787033287212</v>
      </c>
      <c r="AU566" s="212">
        <f t="shared" si="75"/>
        <v>40.794124671602574</v>
      </c>
      <c r="AW566" s="58"/>
      <c r="AX566" s="58"/>
      <c r="AY566" s="58"/>
      <c r="AZ566" s="58"/>
    </row>
    <row r="567" spans="1:52" s="185" customFormat="1" ht="15" customHeight="1" x14ac:dyDescent="0.25">
      <c r="A567" s="200"/>
      <c r="B567" s="211"/>
      <c r="C567" s="212">
        <f t="shared" si="76"/>
        <v>55.60000000000052</v>
      </c>
      <c r="D567" s="231">
        <f>15+[1]!STEPLOAD(5)</f>
        <v>20</v>
      </c>
      <c r="E567" s="212">
        <f t="shared" si="78"/>
        <v>40.794124677801285</v>
      </c>
      <c r="F567" s="212">
        <f t="shared" si="79"/>
        <v>0.5</v>
      </c>
      <c r="G567" s="212">
        <f>5</f>
        <v>5</v>
      </c>
      <c r="H567" s="212">
        <f t="shared" si="77"/>
        <v>48.369444401243292</v>
      </c>
      <c r="I567" s="212">
        <f t="shared" si="80"/>
        <v>0.9</v>
      </c>
      <c r="J567" s="212">
        <f>1</f>
        <v>1</v>
      </c>
      <c r="K567" s="212">
        <f t="shared" si="81"/>
        <v>4.1870000000000003</v>
      </c>
      <c r="L567" s="212"/>
      <c r="M567" s="212"/>
      <c r="N567" s="212"/>
      <c r="O567" s="212"/>
      <c r="P567" s="212"/>
      <c r="Q567" s="212"/>
      <c r="R567" s="212"/>
      <c r="S567" s="212"/>
      <c r="T567" s="212"/>
      <c r="U567" s="212"/>
      <c r="V567" s="212"/>
      <c r="W567" s="212"/>
      <c r="X567" s="212"/>
      <c r="Y567" s="212"/>
      <c r="Z567" s="212"/>
      <c r="AA567" s="212"/>
      <c r="AB567" s="212"/>
      <c r="AC567" s="196"/>
      <c r="AD567" s="27"/>
      <c r="AE567" s="213"/>
      <c r="AF567" s="212">
        <f t="shared" si="82"/>
        <v>-2.4770967499421204E-9</v>
      </c>
      <c r="AG567" s="212"/>
      <c r="AH567" s="212"/>
      <c r="AI567" s="212"/>
      <c r="AJ567" s="212"/>
      <c r="AK567" s="212"/>
      <c r="AL567" s="212"/>
      <c r="AM567" s="212"/>
      <c r="AN567" s="212"/>
      <c r="AO567" s="212"/>
      <c r="AP567" s="196"/>
      <c r="AQ567" s="196"/>
      <c r="AR567" s="211"/>
      <c r="AS567" s="212">
        <f t="shared" si="74"/>
        <v>-6.1987108779248955E-11</v>
      </c>
      <c r="AT567" s="212">
        <f>[1]!LIM(AT566+Mode*r0*((1+IntegrationStep/2/Ti+Td/IntegrationStep)*AS567-(1-IntegrationStep/2/Ti+2*Td/IntegrationStep)*AS566+Td/IntegrationStep*AS565))</f>
        <v>0.40307870334369411</v>
      </c>
      <c r="AU567" s="212">
        <f t="shared" si="75"/>
        <v>40.794124671602574</v>
      </c>
      <c r="AW567" s="58"/>
      <c r="AX567" s="58"/>
      <c r="AY567" s="58"/>
      <c r="AZ567" s="58"/>
    </row>
    <row r="568" spans="1:52" s="185" customFormat="1" ht="15" customHeight="1" x14ac:dyDescent="0.25">
      <c r="A568" s="200"/>
      <c r="B568" s="211"/>
      <c r="C568" s="212">
        <f t="shared" si="76"/>
        <v>55.700000000000522</v>
      </c>
      <c r="D568" s="231">
        <f>15+[1]!STEPLOAD(5)</f>
        <v>20</v>
      </c>
      <c r="E568" s="212">
        <f t="shared" si="78"/>
        <v>40.794124677553576</v>
      </c>
      <c r="F568" s="212">
        <f t="shared" si="79"/>
        <v>0.5</v>
      </c>
      <c r="G568" s="212">
        <f>5</f>
        <v>5</v>
      </c>
      <c r="H568" s="212">
        <f t="shared" si="77"/>
        <v>48.369444402968384</v>
      </c>
      <c r="I568" s="212">
        <f t="shared" si="80"/>
        <v>0.9</v>
      </c>
      <c r="J568" s="212">
        <f>1</f>
        <v>1</v>
      </c>
      <c r="K568" s="212">
        <f t="shared" si="81"/>
        <v>4.1870000000000003</v>
      </c>
      <c r="L568" s="212"/>
      <c r="M568" s="212"/>
      <c r="N568" s="212"/>
      <c r="O568" s="212"/>
      <c r="P568" s="212"/>
      <c r="Q568" s="212"/>
      <c r="R568" s="212"/>
      <c r="S568" s="212"/>
      <c r="T568" s="212"/>
      <c r="U568" s="212"/>
      <c r="V568" s="212"/>
      <c r="W568" s="212"/>
      <c r="X568" s="212"/>
      <c r="Y568" s="212"/>
      <c r="Z568" s="212"/>
      <c r="AA568" s="212"/>
      <c r="AB568" s="212"/>
      <c r="AC568" s="196"/>
      <c r="AD568" s="27"/>
      <c r="AE568" s="213"/>
      <c r="AF568" s="212">
        <f t="shared" si="82"/>
        <v>-2.3781643321285628E-9</v>
      </c>
      <c r="AG568" s="212"/>
      <c r="AH568" s="212"/>
      <c r="AI568" s="212"/>
      <c r="AJ568" s="212"/>
      <c r="AK568" s="212"/>
      <c r="AL568" s="212"/>
      <c r="AM568" s="212"/>
      <c r="AN568" s="212"/>
      <c r="AO568" s="212"/>
      <c r="AP568" s="196"/>
      <c r="AQ568" s="196"/>
      <c r="AR568" s="211"/>
      <c r="AS568" s="212">
        <f t="shared" si="74"/>
        <v>-5.9510014693842101E-11</v>
      </c>
      <c r="AT568" s="212">
        <f>[1]!LIM(AT567+Mode*r0*((1+IntegrationStep/2/Ti+Td/IntegrationStep)*AS568-(1-IntegrationStep/2/Ti+2*Td/IntegrationStep)*AS567+Td/IntegrationStep*AS566))</f>
        <v>0.40307870335806983</v>
      </c>
      <c r="AU568" s="212">
        <f t="shared" si="75"/>
        <v>40.794124671602574</v>
      </c>
      <c r="AW568" s="58"/>
      <c r="AX568" s="58"/>
      <c r="AY568" s="58"/>
      <c r="AZ568" s="58"/>
    </row>
    <row r="569" spans="1:52" s="185" customFormat="1" ht="15" customHeight="1" x14ac:dyDescent="0.25">
      <c r="A569" s="200"/>
      <c r="B569" s="211"/>
      <c r="C569" s="212">
        <f t="shared" si="76"/>
        <v>55.800000000000523</v>
      </c>
      <c r="D569" s="231">
        <f>15+[1]!STEPLOAD(5)</f>
        <v>20</v>
      </c>
      <c r="E569" s="212">
        <f t="shared" si="78"/>
        <v>40.794124677315757</v>
      </c>
      <c r="F569" s="212">
        <f t="shared" si="79"/>
        <v>0.5</v>
      </c>
      <c r="G569" s="212">
        <f>5</f>
        <v>5</v>
      </c>
      <c r="H569" s="212">
        <f t="shared" si="77"/>
        <v>48.369444404624673</v>
      </c>
      <c r="I569" s="212">
        <f t="shared" si="80"/>
        <v>0.9</v>
      </c>
      <c r="J569" s="212">
        <f>1</f>
        <v>1</v>
      </c>
      <c r="K569" s="212">
        <f t="shared" si="81"/>
        <v>4.1870000000000003</v>
      </c>
      <c r="L569" s="212"/>
      <c r="M569" s="212"/>
      <c r="N569" s="212"/>
      <c r="O569" s="212"/>
      <c r="P569" s="212"/>
      <c r="Q569" s="212"/>
      <c r="R569" s="212"/>
      <c r="S569" s="212"/>
      <c r="T569" s="212"/>
      <c r="U569" s="212"/>
      <c r="V569" s="212"/>
      <c r="W569" s="212"/>
      <c r="X569" s="212"/>
      <c r="Y569" s="212"/>
      <c r="Z569" s="212"/>
      <c r="AA569" s="212"/>
      <c r="AB569" s="212"/>
      <c r="AC569" s="196"/>
      <c r="AD569" s="27"/>
      <c r="AE569" s="213"/>
      <c r="AF569" s="212">
        <f t="shared" si="82"/>
        <v>-2.2831780910337329E-9</v>
      </c>
      <c r="AG569" s="212"/>
      <c r="AH569" s="212"/>
      <c r="AI569" s="212"/>
      <c r="AJ569" s="212"/>
      <c r="AK569" s="212"/>
      <c r="AL569" s="212"/>
      <c r="AM569" s="212"/>
      <c r="AN569" s="212"/>
      <c r="AO569" s="212"/>
      <c r="AP569" s="196"/>
      <c r="AQ569" s="196"/>
      <c r="AR569" s="211"/>
      <c r="AS569" s="212">
        <f t="shared" si="74"/>
        <v>-5.7131828157253041E-11</v>
      </c>
      <c r="AT569" s="212">
        <f>[1]!LIM(AT568+Mode*r0*((1+IntegrationStep/2/Ti+Td/IntegrationStep)*AS569-(1-IntegrationStep/2/Ti+2*Td/IntegrationStep)*AS568+Td/IntegrationStep*AS567))</f>
        <v>0.40307870337187229</v>
      </c>
      <c r="AU569" s="212">
        <f t="shared" si="75"/>
        <v>40.794124671602574</v>
      </c>
      <c r="AW569" s="58"/>
      <c r="AX569" s="58"/>
      <c r="AY569" s="58"/>
      <c r="AZ569" s="58"/>
    </row>
    <row r="570" spans="1:52" s="185" customFormat="1" ht="15" customHeight="1" x14ac:dyDescent="0.25">
      <c r="A570" s="200"/>
      <c r="B570" s="211"/>
      <c r="C570" s="212">
        <f t="shared" si="76"/>
        <v>55.900000000000524</v>
      </c>
      <c r="D570" s="231">
        <f>15+[1]!STEPLOAD(5)</f>
        <v>20</v>
      </c>
      <c r="E570" s="212">
        <f t="shared" si="78"/>
        <v>40.794124677087439</v>
      </c>
      <c r="F570" s="212">
        <f t="shared" si="79"/>
        <v>0.5</v>
      </c>
      <c r="G570" s="212">
        <f>5</f>
        <v>5</v>
      </c>
      <c r="H570" s="212">
        <f t="shared" si="77"/>
        <v>48.369444406214853</v>
      </c>
      <c r="I570" s="212">
        <f t="shared" si="80"/>
        <v>0.9</v>
      </c>
      <c r="J570" s="212">
        <f>1</f>
        <v>1</v>
      </c>
      <c r="K570" s="212">
        <f t="shared" si="81"/>
        <v>4.1870000000000003</v>
      </c>
      <c r="L570" s="212"/>
      <c r="M570" s="212"/>
      <c r="N570" s="212"/>
      <c r="O570" s="212"/>
      <c r="P570" s="212"/>
      <c r="Q570" s="212"/>
      <c r="R570" s="212"/>
      <c r="S570" s="212"/>
      <c r="T570" s="212"/>
      <c r="U570" s="212"/>
      <c r="V570" s="212"/>
      <c r="W570" s="212"/>
      <c r="X570" s="212"/>
      <c r="Y570" s="212"/>
      <c r="Z570" s="212"/>
      <c r="AA570" s="212"/>
      <c r="AB570" s="212"/>
      <c r="AC570" s="196"/>
      <c r="AD570" s="27"/>
      <c r="AE570" s="213"/>
      <c r="AF570" s="212">
        <f t="shared" si="82"/>
        <v>-2.1919843717910226E-9</v>
      </c>
      <c r="AG570" s="212"/>
      <c r="AH570" s="212"/>
      <c r="AI570" s="212"/>
      <c r="AJ570" s="212"/>
      <c r="AK570" s="212"/>
      <c r="AL570" s="212"/>
      <c r="AM570" s="212"/>
      <c r="AN570" s="212"/>
      <c r="AO570" s="212"/>
      <c r="AP570" s="196"/>
      <c r="AQ570" s="196"/>
      <c r="AR570" s="211"/>
      <c r="AS570" s="212">
        <f t="shared" si="74"/>
        <v>-5.4848641184435111E-11</v>
      </c>
      <c r="AT570" s="212">
        <f>[1]!LIM(AT569+Mode*r0*((1+IntegrationStep/2/Ti+Td/IntegrationStep)*AS570-(1-IntegrationStep/2/Ti+2*Td/IntegrationStep)*AS569+Td/IntegrationStep*AS568))</f>
        <v>0.40307870338512375</v>
      </c>
      <c r="AU570" s="212">
        <f t="shared" si="75"/>
        <v>40.794124671602574</v>
      </c>
      <c r="AW570" s="58"/>
      <c r="AX570" s="58"/>
      <c r="AY570" s="58"/>
      <c r="AZ570" s="58"/>
    </row>
    <row r="571" spans="1:52" s="185" customFormat="1" ht="15" customHeight="1" x14ac:dyDescent="0.25">
      <c r="A571" s="200"/>
      <c r="B571" s="211"/>
      <c r="C571" s="212">
        <f t="shared" si="76"/>
        <v>56.000000000000526</v>
      </c>
      <c r="D571" s="231">
        <f>15+[1]!STEPLOAD(5)</f>
        <v>20</v>
      </c>
      <c r="E571" s="212">
        <f t="shared" si="78"/>
        <v>40.794124676868243</v>
      </c>
      <c r="F571" s="212">
        <f t="shared" si="79"/>
        <v>0.5</v>
      </c>
      <c r="G571" s="212">
        <f>5</f>
        <v>5</v>
      </c>
      <c r="H571" s="212">
        <f t="shared" si="77"/>
        <v>48.369444407741497</v>
      </c>
      <c r="I571" s="212">
        <f t="shared" si="80"/>
        <v>0.9</v>
      </c>
      <c r="J571" s="212">
        <f>1</f>
        <v>1</v>
      </c>
      <c r="K571" s="212">
        <f t="shared" si="81"/>
        <v>4.1870000000000003</v>
      </c>
      <c r="L571" s="212"/>
      <c r="M571" s="212"/>
      <c r="N571" s="212"/>
      <c r="O571" s="212"/>
      <c r="P571" s="212"/>
      <c r="Q571" s="212"/>
      <c r="R571" s="212"/>
      <c r="S571" s="212"/>
      <c r="T571" s="212"/>
      <c r="U571" s="212"/>
      <c r="V571" s="212"/>
      <c r="W571" s="212"/>
      <c r="X571" s="212"/>
      <c r="Y571" s="212"/>
      <c r="Z571" s="212"/>
      <c r="AA571" s="212"/>
      <c r="AB571" s="212"/>
      <c r="AC571" s="196"/>
      <c r="AD571" s="27"/>
      <c r="AE571" s="213"/>
      <c r="AF571" s="212">
        <f t="shared" si="82"/>
        <v>-2.1044339604259221E-9</v>
      </c>
      <c r="AG571" s="212"/>
      <c r="AH571" s="212"/>
      <c r="AI571" s="212"/>
      <c r="AJ571" s="212"/>
      <c r="AK571" s="212"/>
      <c r="AL571" s="212"/>
      <c r="AM571" s="212"/>
      <c r="AN571" s="212"/>
      <c r="AO571" s="212"/>
      <c r="AP571" s="196"/>
      <c r="AQ571" s="196"/>
      <c r="AR571" s="211"/>
      <c r="AS571" s="212">
        <f t="shared" si="74"/>
        <v>-5.265668789888878E-11</v>
      </c>
      <c r="AT571" s="212">
        <f>[1]!LIM(AT570+Mode*r0*((1+IntegrationStep/2/Ti+Td/IntegrationStep)*AS571-(1-IntegrationStep/2/Ti+2*Td/IntegrationStep)*AS570+Td/IntegrationStep*AS569))</f>
        <v>0.40307870339784579</v>
      </c>
      <c r="AU571" s="212">
        <f t="shared" si="75"/>
        <v>40.794124671602574</v>
      </c>
      <c r="AW571" s="58"/>
      <c r="AX571" s="58"/>
      <c r="AY571" s="58"/>
      <c r="AZ571" s="58"/>
    </row>
    <row r="572" spans="1:52" s="185" customFormat="1" ht="15" customHeight="1" x14ac:dyDescent="0.25">
      <c r="A572" s="200"/>
      <c r="B572" s="211"/>
      <c r="C572" s="212">
        <f t="shared" si="76"/>
        <v>56.100000000000527</v>
      </c>
      <c r="D572" s="231">
        <f>15+[1]!STEPLOAD(5)</f>
        <v>20</v>
      </c>
      <c r="E572" s="212">
        <f t="shared" si="78"/>
        <v>40.794124676657802</v>
      </c>
      <c r="F572" s="212">
        <f t="shared" si="79"/>
        <v>0.5</v>
      </c>
      <c r="G572" s="212">
        <f>5</f>
        <v>5</v>
      </c>
      <c r="H572" s="212">
        <f t="shared" si="77"/>
        <v>48.36944440920724</v>
      </c>
      <c r="I572" s="212">
        <f t="shared" si="80"/>
        <v>0.9</v>
      </c>
      <c r="J572" s="212">
        <f>1</f>
        <v>1</v>
      </c>
      <c r="K572" s="212">
        <f t="shared" si="81"/>
        <v>4.1870000000000003</v>
      </c>
      <c r="L572" s="212"/>
      <c r="M572" s="212"/>
      <c r="N572" s="212"/>
      <c r="O572" s="212"/>
      <c r="P572" s="212"/>
      <c r="Q572" s="212"/>
      <c r="R572" s="212"/>
      <c r="S572" s="212"/>
      <c r="T572" s="212"/>
      <c r="U572" s="212"/>
      <c r="V572" s="212"/>
      <c r="W572" s="212"/>
      <c r="X572" s="212"/>
      <c r="Y572" s="212"/>
      <c r="Z572" s="212"/>
      <c r="AA572" s="212"/>
      <c r="AB572" s="212"/>
      <c r="AC572" s="196"/>
      <c r="AD572" s="27"/>
      <c r="AE572" s="213"/>
      <c r="AF572" s="212">
        <f t="shared" si="82"/>
        <v>-2.0203771988747121E-9</v>
      </c>
      <c r="AG572" s="212"/>
      <c r="AH572" s="212"/>
      <c r="AI572" s="212"/>
      <c r="AJ572" s="212"/>
      <c r="AK572" s="212"/>
      <c r="AL572" s="212"/>
      <c r="AM572" s="212"/>
      <c r="AN572" s="212"/>
      <c r="AO572" s="212"/>
      <c r="AP572" s="196"/>
      <c r="AQ572" s="196"/>
      <c r="AR572" s="211"/>
      <c r="AS572" s="212">
        <f t="shared" si="74"/>
        <v>-5.055227347838809E-11</v>
      </c>
      <c r="AT572" s="212">
        <f>[1]!LIM(AT571+Mode*r0*((1+IntegrationStep/2/Ti+Td/IntegrationStep)*AS572-(1-IntegrationStep/2/Ti+2*Td/IntegrationStep)*AS571+Td/IntegrationStep*AS570))</f>
        <v>0.40307870341006036</v>
      </c>
      <c r="AU572" s="212">
        <f t="shared" si="75"/>
        <v>40.794124671602574</v>
      </c>
      <c r="AW572" s="58"/>
      <c r="AX572" s="58"/>
      <c r="AY572" s="58"/>
      <c r="AZ572" s="58"/>
    </row>
    <row r="573" spans="1:52" s="185" customFormat="1" ht="15" customHeight="1" x14ac:dyDescent="0.25">
      <c r="A573" s="200"/>
      <c r="B573" s="211"/>
      <c r="C573" s="212">
        <f t="shared" si="76"/>
        <v>56.200000000000529</v>
      </c>
      <c r="D573" s="231">
        <f>15+[1]!STEPLOAD(5)</f>
        <v>20</v>
      </c>
      <c r="E573" s="212">
        <f t="shared" si="78"/>
        <v>40.794124676455766</v>
      </c>
      <c r="F573" s="212">
        <f t="shared" si="79"/>
        <v>0.5</v>
      </c>
      <c r="G573" s="212">
        <f>5</f>
        <v>5</v>
      </c>
      <c r="H573" s="212">
        <f t="shared" si="77"/>
        <v>48.369444410614491</v>
      </c>
      <c r="I573" s="212">
        <f t="shared" si="80"/>
        <v>0.9</v>
      </c>
      <c r="J573" s="212">
        <f>1</f>
        <v>1</v>
      </c>
      <c r="K573" s="212">
        <f t="shared" si="81"/>
        <v>4.1870000000000003</v>
      </c>
      <c r="L573" s="212"/>
      <c r="M573" s="212"/>
      <c r="N573" s="212"/>
      <c r="O573" s="212"/>
      <c r="P573" s="212"/>
      <c r="Q573" s="212"/>
      <c r="R573" s="212"/>
      <c r="S573" s="212"/>
      <c r="T573" s="212"/>
      <c r="U573" s="212"/>
      <c r="V573" s="212"/>
      <c r="W573" s="212"/>
      <c r="X573" s="212"/>
      <c r="Y573" s="212"/>
      <c r="Z573" s="212"/>
      <c r="AA573" s="212"/>
      <c r="AB573" s="212"/>
      <c r="AC573" s="196"/>
      <c r="AD573" s="27"/>
      <c r="AE573" s="213"/>
      <c r="AF573" s="212">
        <f t="shared" si="82"/>
        <v>-1.9396755313039193E-9</v>
      </c>
      <c r="AG573" s="212"/>
      <c r="AH573" s="212"/>
      <c r="AI573" s="212"/>
      <c r="AJ573" s="212"/>
      <c r="AK573" s="212"/>
      <c r="AL573" s="212"/>
      <c r="AM573" s="212"/>
      <c r="AN573" s="212"/>
      <c r="AO573" s="212"/>
      <c r="AP573" s="196"/>
      <c r="AQ573" s="196"/>
      <c r="AR573" s="211"/>
      <c r="AS573" s="212">
        <f t="shared" si="74"/>
        <v>-4.8531916263527821E-11</v>
      </c>
      <c r="AT573" s="212">
        <f>[1]!LIM(AT572+Mode*r0*((1+IntegrationStep/2/Ti+Td/IntegrationStep)*AS573-(1-IntegrationStep/2/Ti+2*Td/IntegrationStep)*AS572+Td/IntegrationStep*AS571))</f>
        <v>0.40307870342178742</v>
      </c>
      <c r="AU573" s="212">
        <f t="shared" si="75"/>
        <v>40.794124671602574</v>
      </c>
      <c r="AW573" s="58"/>
      <c r="AX573" s="58"/>
      <c r="AY573" s="58"/>
      <c r="AZ573" s="58"/>
    </row>
    <row r="574" spans="1:52" s="185" customFormat="1" ht="15" customHeight="1" x14ac:dyDescent="0.25">
      <c r="A574" s="200"/>
      <c r="B574" s="211"/>
      <c r="C574" s="212">
        <f t="shared" si="76"/>
        <v>56.30000000000053</v>
      </c>
      <c r="D574" s="231">
        <f>15+[1]!STEPLOAD(5)</f>
        <v>20</v>
      </c>
      <c r="E574" s="212">
        <f t="shared" si="78"/>
        <v>40.794124676261795</v>
      </c>
      <c r="F574" s="212">
        <f t="shared" si="79"/>
        <v>0.5</v>
      </c>
      <c r="G574" s="212">
        <f>5</f>
        <v>5</v>
      </c>
      <c r="H574" s="212">
        <f t="shared" si="77"/>
        <v>48.369444411965674</v>
      </c>
      <c r="I574" s="212">
        <f t="shared" si="80"/>
        <v>0.9</v>
      </c>
      <c r="J574" s="212">
        <f>1</f>
        <v>1</v>
      </c>
      <c r="K574" s="212">
        <f t="shared" si="81"/>
        <v>4.1870000000000003</v>
      </c>
      <c r="L574" s="212"/>
      <c r="M574" s="212"/>
      <c r="N574" s="212"/>
      <c r="O574" s="212"/>
      <c r="P574" s="212"/>
      <c r="Q574" s="212"/>
      <c r="R574" s="212"/>
      <c r="S574" s="212"/>
      <c r="T574" s="212"/>
      <c r="U574" s="212"/>
      <c r="V574" s="212"/>
      <c r="W574" s="212"/>
      <c r="X574" s="212"/>
      <c r="Y574" s="212"/>
      <c r="Z574" s="212"/>
      <c r="AA574" s="212"/>
      <c r="AB574" s="212"/>
      <c r="AC574" s="196"/>
      <c r="AD574" s="27"/>
      <c r="AE574" s="213"/>
      <c r="AF574" s="212">
        <f t="shared" si="82"/>
        <v>-1.8621908459692804E-9</v>
      </c>
      <c r="AG574" s="212"/>
      <c r="AH574" s="212"/>
      <c r="AI574" s="212"/>
      <c r="AJ574" s="212"/>
      <c r="AK574" s="212"/>
      <c r="AL574" s="212"/>
      <c r="AM574" s="212"/>
      <c r="AN574" s="212"/>
      <c r="AO574" s="212"/>
      <c r="AP574" s="196"/>
      <c r="AQ574" s="196"/>
      <c r="AR574" s="211"/>
      <c r="AS574" s="212">
        <f t="shared" si="74"/>
        <v>-4.6592205649176325E-11</v>
      </c>
      <c r="AT574" s="212">
        <f>[1]!LIM(AT573+Mode*r0*((1+IntegrationStep/2/Ti+Td/IntegrationStep)*AS574-(1-IntegrationStep/2/Ti+2*Td/IntegrationStep)*AS573+Td/IntegrationStep*AS572))</f>
        <v>0.4030787034330473</v>
      </c>
      <c r="AU574" s="212">
        <f t="shared" si="75"/>
        <v>40.794124671602574</v>
      </c>
      <c r="AW574" s="58"/>
      <c r="AX574" s="58"/>
      <c r="AY574" s="58"/>
      <c r="AZ574" s="58"/>
    </row>
    <row r="575" spans="1:52" s="185" customFormat="1" ht="15" customHeight="1" x14ac:dyDescent="0.25">
      <c r="A575" s="200"/>
      <c r="B575" s="211"/>
      <c r="C575" s="212">
        <f t="shared" si="76"/>
        <v>56.400000000000531</v>
      </c>
      <c r="D575" s="231">
        <f>15+[1]!STEPLOAD(5)</f>
        <v>20</v>
      </c>
      <c r="E575" s="212">
        <f t="shared" si="78"/>
        <v>40.794124676075576</v>
      </c>
      <c r="F575" s="212">
        <f t="shared" si="79"/>
        <v>0.5</v>
      </c>
      <c r="G575" s="212">
        <f>5</f>
        <v>5</v>
      </c>
      <c r="H575" s="212">
        <f t="shared" si="77"/>
        <v>48.369444413262869</v>
      </c>
      <c r="I575" s="212">
        <f t="shared" si="80"/>
        <v>0.9</v>
      </c>
      <c r="J575" s="212">
        <f>1</f>
        <v>1</v>
      </c>
      <c r="K575" s="212">
        <f t="shared" si="81"/>
        <v>4.1870000000000003</v>
      </c>
      <c r="L575" s="212"/>
      <c r="M575" s="212"/>
      <c r="N575" s="212"/>
      <c r="O575" s="212"/>
      <c r="P575" s="212"/>
      <c r="Q575" s="212"/>
      <c r="R575" s="212"/>
      <c r="S575" s="212"/>
      <c r="T575" s="212"/>
      <c r="U575" s="212"/>
      <c r="V575" s="212"/>
      <c r="W575" s="212"/>
      <c r="X575" s="212"/>
      <c r="Y575" s="212"/>
      <c r="Z575" s="212"/>
      <c r="AA575" s="212"/>
      <c r="AB575" s="212"/>
      <c r="AC575" s="196"/>
      <c r="AD575" s="27"/>
      <c r="AE575" s="213"/>
      <c r="AF575" s="212">
        <f t="shared" si="82"/>
        <v>-1.7878023506057161E-9</v>
      </c>
      <c r="AG575" s="212"/>
      <c r="AH575" s="212"/>
      <c r="AI575" s="212"/>
      <c r="AJ575" s="212"/>
      <c r="AK575" s="212"/>
      <c r="AL575" s="212"/>
      <c r="AM575" s="212"/>
      <c r="AN575" s="212"/>
      <c r="AO575" s="212"/>
      <c r="AP575" s="196"/>
      <c r="AQ575" s="196"/>
      <c r="AR575" s="211"/>
      <c r="AS575" s="212">
        <f t="shared" si="74"/>
        <v>-4.4730015247296248E-11</v>
      </c>
      <c r="AT575" s="212">
        <f>[1]!LIM(AT574+Mode*r0*((1+IntegrationStep/2/Ti+Td/IntegrationStep)*AS575-(1-IntegrationStep/2/Ti+2*Td/IntegrationStep)*AS574+Td/IntegrationStep*AS573))</f>
        <v>0.40307870344385727</v>
      </c>
      <c r="AU575" s="212">
        <f t="shared" si="75"/>
        <v>40.794124671602574</v>
      </c>
      <c r="AW575" s="58"/>
      <c r="AX575" s="58"/>
      <c r="AY575" s="58"/>
      <c r="AZ575" s="58"/>
    </row>
    <row r="576" spans="1:52" s="185" customFormat="1" ht="15" customHeight="1" x14ac:dyDescent="0.25">
      <c r="A576" s="200"/>
      <c r="B576" s="211"/>
      <c r="C576" s="212">
        <f t="shared" si="76"/>
        <v>56.500000000000533</v>
      </c>
      <c r="D576" s="231">
        <f>15+[1]!STEPLOAD(5)</f>
        <v>20</v>
      </c>
      <c r="E576" s="212">
        <f t="shared" si="78"/>
        <v>40.794124675896796</v>
      </c>
      <c r="F576" s="212">
        <f t="shared" si="79"/>
        <v>0.5</v>
      </c>
      <c r="G576" s="212">
        <f>5</f>
        <v>5</v>
      </c>
      <c r="H576" s="212">
        <f t="shared" si="77"/>
        <v>48.36944441450828</v>
      </c>
      <c r="I576" s="212">
        <f t="shared" si="80"/>
        <v>0.9</v>
      </c>
      <c r="J576" s="212">
        <f>1</f>
        <v>1</v>
      </c>
      <c r="K576" s="212">
        <f t="shared" si="81"/>
        <v>4.1870000000000003</v>
      </c>
      <c r="L576" s="212"/>
      <c r="M576" s="212"/>
      <c r="N576" s="212"/>
      <c r="O576" s="212"/>
      <c r="P576" s="212"/>
      <c r="Q576" s="212"/>
      <c r="R576" s="212"/>
      <c r="S576" s="212"/>
      <c r="T576" s="212"/>
      <c r="U576" s="212"/>
      <c r="V576" s="212"/>
      <c r="W576" s="212"/>
      <c r="X576" s="212"/>
      <c r="Y576" s="212"/>
      <c r="Z576" s="212"/>
      <c r="AA576" s="212"/>
      <c r="AB576" s="212"/>
      <c r="AC576" s="196"/>
      <c r="AD576" s="27"/>
      <c r="AE576" s="213"/>
      <c r="AF576" s="212">
        <f t="shared" si="82"/>
        <v>-1.7163839238776291E-9</v>
      </c>
      <c r="AG576" s="212"/>
      <c r="AH576" s="212"/>
      <c r="AI576" s="212"/>
      <c r="AJ576" s="212"/>
      <c r="AK576" s="212"/>
      <c r="AL576" s="212"/>
      <c r="AM576" s="212"/>
      <c r="AN576" s="212"/>
      <c r="AO576" s="212"/>
      <c r="AP576" s="196"/>
      <c r="AQ576" s="196"/>
      <c r="AR576" s="211"/>
      <c r="AS576" s="212">
        <f t="shared" si="74"/>
        <v>-4.2942218669850262E-11</v>
      </c>
      <c r="AT576" s="212">
        <f>[1]!LIM(AT575+Mode*r0*((1+IntegrationStep/2/Ti+Td/IntegrationStep)*AS576-(1-IntegrationStep/2/Ti+2*Td/IntegrationStep)*AS575+Td/IntegrationStep*AS574))</f>
        <v>0.40307870345423569</v>
      </c>
      <c r="AU576" s="212">
        <f t="shared" si="75"/>
        <v>40.794124671602574</v>
      </c>
      <c r="AW576" s="58"/>
      <c r="AX576" s="58"/>
      <c r="AY576" s="58"/>
      <c r="AZ576" s="58"/>
    </row>
    <row r="577" spans="1:52" s="185" customFormat="1" ht="15" customHeight="1" x14ac:dyDescent="0.25">
      <c r="A577" s="200"/>
      <c r="B577" s="211"/>
      <c r="C577" s="212">
        <f t="shared" si="76"/>
        <v>56.600000000000534</v>
      </c>
      <c r="D577" s="231">
        <f>15+[1]!STEPLOAD(5)</f>
        <v>20</v>
      </c>
      <c r="E577" s="212">
        <f t="shared" si="78"/>
        <v>40.794124675725158</v>
      </c>
      <c r="F577" s="212">
        <f t="shared" si="79"/>
        <v>0.5</v>
      </c>
      <c r="G577" s="212">
        <f>5</f>
        <v>5</v>
      </c>
      <c r="H577" s="212">
        <f t="shared" si="77"/>
        <v>48.369444415704002</v>
      </c>
      <c r="I577" s="212">
        <f t="shared" si="80"/>
        <v>0.9</v>
      </c>
      <c r="J577" s="212">
        <f>1</f>
        <v>1</v>
      </c>
      <c r="K577" s="212">
        <f t="shared" si="81"/>
        <v>4.1870000000000003</v>
      </c>
      <c r="L577" s="212"/>
      <c r="M577" s="212"/>
      <c r="N577" s="212"/>
      <c r="O577" s="212"/>
      <c r="P577" s="212"/>
      <c r="Q577" s="212"/>
      <c r="R577" s="212"/>
      <c r="S577" s="212"/>
      <c r="T577" s="212"/>
      <c r="U577" s="212"/>
      <c r="V577" s="212"/>
      <c r="W577" s="212"/>
      <c r="X577" s="212"/>
      <c r="Y577" s="212"/>
      <c r="Z577" s="212"/>
      <c r="AA577" s="212"/>
      <c r="AB577" s="212"/>
      <c r="AC577" s="196"/>
      <c r="AD577" s="27"/>
      <c r="AE577" s="213"/>
      <c r="AF577" s="212">
        <f t="shared" si="82"/>
        <v>-1.6478156616983597E-9</v>
      </c>
      <c r="AG577" s="212"/>
      <c r="AH577" s="212"/>
      <c r="AI577" s="212"/>
      <c r="AJ577" s="212"/>
      <c r="AK577" s="212"/>
      <c r="AL577" s="212"/>
      <c r="AM577" s="212"/>
      <c r="AN577" s="212"/>
      <c r="AO577" s="212"/>
      <c r="AP577" s="196"/>
      <c r="AQ577" s="196"/>
      <c r="AR577" s="211"/>
      <c r="AS577" s="212">
        <f t="shared" si="74"/>
        <v>-4.1225831637348168E-11</v>
      </c>
      <c r="AT577" s="212">
        <f>[1]!LIM(AT576+Mode*r0*((1+IntegrationStep/2/Ti+Td/IntegrationStep)*AS577-(1-IntegrationStep/2/Ti+2*Td/IntegrationStep)*AS576+Td/IntegrationStep*AS575))</f>
        <v>0.40307870346419999</v>
      </c>
      <c r="AU577" s="212">
        <f t="shared" si="75"/>
        <v>40.794124671602574</v>
      </c>
      <c r="AW577" s="58"/>
      <c r="AX577" s="58"/>
      <c r="AY577" s="58"/>
      <c r="AZ577" s="58"/>
    </row>
    <row r="578" spans="1:52" s="185" customFormat="1" ht="15" customHeight="1" x14ac:dyDescent="0.25">
      <c r="A578" s="200"/>
      <c r="B578" s="211"/>
      <c r="C578" s="212">
        <f t="shared" si="76"/>
        <v>56.700000000000536</v>
      </c>
      <c r="D578" s="231">
        <f>15+[1]!STEPLOAD(5)</f>
        <v>20</v>
      </c>
      <c r="E578" s="212">
        <f t="shared" si="78"/>
        <v>40.794124675560376</v>
      </c>
      <c r="F578" s="212">
        <f t="shared" si="79"/>
        <v>0.5</v>
      </c>
      <c r="G578" s="212">
        <f>5</f>
        <v>5</v>
      </c>
      <c r="H578" s="212">
        <f t="shared" si="77"/>
        <v>48.369444416851991</v>
      </c>
      <c r="I578" s="212">
        <f t="shared" si="80"/>
        <v>0.9</v>
      </c>
      <c r="J578" s="212">
        <f>1</f>
        <v>1</v>
      </c>
      <c r="K578" s="212">
        <f t="shared" si="81"/>
        <v>4.1870000000000003</v>
      </c>
      <c r="L578" s="212"/>
      <c r="M578" s="212"/>
      <c r="N578" s="212"/>
      <c r="O578" s="212"/>
      <c r="P578" s="212"/>
      <c r="Q578" s="212"/>
      <c r="R578" s="212"/>
      <c r="S578" s="212"/>
      <c r="T578" s="212"/>
      <c r="U578" s="212"/>
      <c r="V578" s="212"/>
      <c r="W578" s="212"/>
      <c r="X578" s="212"/>
      <c r="Y578" s="212"/>
      <c r="Z578" s="212"/>
      <c r="AA578" s="212"/>
      <c r="AB578" s="212"/>
      <c r="AC578" s="196"/>
      <c r="AD578" s="27"/>
      <c r="AE578" s="213"/>
      <c r="AF578" s="212">
        <f t="shared" si="82"/>
        <v>-1.581985209497816E-9</v>
      </c>
      <c r="AG578" s="212"/>
      <c r="AH578" s="212"/>
      <c r="AI578" s="212"/>
      <c r="AJ578" s="212"/>
      <c r="AK578" s="212"/>
      <c r="AL578" s="212"/>
      <c r="AM578" s="212"/>
      <c r="AN578" s="212"/>
      <c r="AO578" s="212"/>
      <c r="AP578" s="196"/>
      <c r="AQ578" s="196"/>
      <c r="AR578" s="211"/>
      <c r="AS578" s="212">
        <f t="shared" si="74"/>
        <v>-3.9578011978846914E-11</v>
      </c>
      <c r="AT578" s="212">
        <f>[1]!LIM(AT577+Mode*r0*((1+IntegrationStep/2/Ti+Td/IntegrationStep)*AS578-(1-IntegrationStep/2/Ti+2*Td/IntegrationStep)*AS577+Td/IntegrationStep*AS576))</f>
        <v>0.40307870347376656</v>
      </c>
      <c r="AU578" s="212">
        <f t="shared" si="75"/>
        <v>40.794124671602574</v>
      </c>
      <c r="AW578" s="58"/>
      <c r="AX578" s="58"/>
      <c r="AY578" s="58"/>
      <c r="AZ578" s="58"/>
    </row>
    <row r="579" spans="1:52" s="185" customFormat="1" ht="15" customHeight="1" x14ac:dyDescent="0.25">
      <c r="A579" s="200"/>
      <c r="B579" s="211"/>
      <c r="C579" s="212">
        <f t="shared" si="76"/>
        <v>56.800000000000537</v>
      </c>
      <c r="D579" s="231">
        <f>15+[1]!STEPLOAD(5)</f>
        <v>20</v>
      </c>
      <c r="E579" s="212">
        <f t="shared" si="78"/>
        <v>40.79412467540218</v>
      </c>
      <c r="F579" s="212">
        <f t="shared" si="79"/>
        <v>0.5</v>
      </c>
      <c r="G579" s="212">
        <f>5</f>
        <v>5</v>
      </c>
      <c r="H579" s="212">
        <f t="shared" si="77"/>
        <v>48.369444417954085</v>
      </c>
      <c r="I579" s="212">
        <f t="shared" si="80"/>
        <v>0.9</v>
      </c>
      <c r="J579" s="212">
        <f>1</f>
        <v>1</v>
      </c>
      <c r="K579" s="212">
        <f t="shared" si="81"/>
        <v>4.1870000000000003</v>
      </c>
      <c r="L579" s="212"/>
      <c r="M579" s="212"/>
      <c r="N579" s="212"/>
      <c r="O579" s="212"/>
      <c r="P579" s="212"/>
      <c r="Q579" s="212"/>
      <c r="R579" s="212"/>
      <c r="S579" s="212"/>
      <c r="T579" s="212"/>
      <c r="U579" s="212"/>
      <c r="V579" s="212"/>
      <c r="W579" s="212"/>
      <c r="X579" s="212"/>
      <c r="Y579" s="212"/>
      <c r="Z579" s="212"/>
      <c r="AA579" s="212"/>
      <c r="AB579" s="212"/>
      <c r="AC579" s="196"/>
      <c r="AD579" s="27"/>
      <c r="AE579" s="213"/>
      <c r="AF579" s="212">
        <f t="shared" si="82"/>
        <v>-1.5187864299548437E-9</v>
      </c>
      <c r="AG579" s="212"/>
      <c r="AH579" s="212"/>
      <c r="AI579" s="212"/>
      <c r="AJ579" s="212"/>
      <c r="AK579" s="212"/>
      <c r="AL579" s="212"/>
      <c r="AM579" s="212"/>
      <c r="AN579" s="212"/>
      <c r="AO579" s="212"/>
      <c r="AP579" s="196"/>
      <c r="AQ579" s="196"/>
      <c r="AR579" s="211"/>
      <c r="AS579" s="212">
        <f t="shared" si="74"/>
        <v>-3.7996059631950631E-11</v>
      </c>
      <c r="AT579" s="212">
        <f>[1]!LIM(AT578+Mode*r0*((1+IntegrationStep/2/Ti+Td/IntegrationStep)*AS579-(1-IntegrationStep/2/Ti+2*Td/IntegrationStep)*AS578+Td/IntegrationStep*AS577))</f>
        <v>0.40307870348295072</v>
      </c>
      <c r="AU579" s="212">
        <f t="shared" si="75"/>
        <v>40.794124671602574</v>
      </c>
      <c r="AW579" s="58"/>
      <c r="AX579" s="58"/>
      <c r="AY579" s="58"/>
      <c r="AZ579" s="58"/>
    </row>
    <row r="580" spans="1:52" s="185" customFormat="1" ht="15" customHeight="1" x14ac:dyDescent="0.25">
      <c r="A580" s="200"/>
      <c r="B580" s="211"/>
      <c r="C580" s="212">
        <f t="shared" si="76"/>
        <v>56.900000000000539</v>
      </c>
      <c r="D580" s="231">
        <f>15+[1]!STEPLOAD(5)</f>
        <v>20</v>
      </c>
      <c r="E580" s="212">
        <f t="shared" si="78"/>
        <v>40.794124675250302</v>
      </c>
      <c r="F580" s="212">
        <f t="shared" si="79"/>
        <v>0.5</v>
      </c>
      <c r="G580" s="212">
        <f>5</f>
        <v>5</v>
      </c>
      <c r="H580" s="212">
        <f t="shared" si="77"/>
        <v>48.369444419012247</v>
      </c>
      <c r="I580" s="212">
        <f t="shared" si="80"/>
        <v>0.9</v>
      </c>
      <c r="J580" s="212">
        <f>1</f>
        <v>1</v>
      </c>
      <c r="K580" s="212">
        <f t="shared" si="81"/>
        <v>4.1870000000000003</v>
      </c>
      <c r="L580" s="212"/>
      <c r="M580" s="212"/>
      <c r="N580" s="212"/>
      <c r="O580" s="212"/>
      <c r="P580" s="212"/>
      <c r="Q580" s="212"/>
      <c r="R580" s="212"/>
      <c r="S580" s="212"/>
      <c r="T580" s="212"/>
      <c r="U580" s="212"/>
      <c r="V580" s="212"/>
      <c r="W580" s="212"/>
      <c r="X580" s="212"/>
      <c r="Y580" s="212"/>
      <c r="Z580" s="212"/>
      <c r="AA580" s="212"/>
      <c r="AB580" s="212"/>
      <c r="AC580" s="196"/>
      <c r="AD580" s="27"/>
      <c r="AE580" s="213"/>
      <c r="AF580" s="212">
        <f t="shared" si="82"/>
        <v>-1.4581078566777705E-9</v>
      </c>
      <c r="AG580" s="212"/>
      <c r="AH580" s="212"/>
      <c r="AI580" s="212"/>
      <c r="AJ580" s="212"/>
      <c r="AK580" s="212"/>
      <c r="AL580" s="212"/>
      <c r="AM580" s="212"/>
      <c r="AN580" s="212"/>
      <c r="AO580" s="212"/>
      <c r="AP580" s="196"/>
      <c r="AQ580" s="196"/>
      <c r="AR580" s="211"/>
      <c r="AS580" s="212">
        <f t="shared" si="74"/>
        <v>-3.6477274534263417E-11</v>
      </c>
      <c r="AT580" s="212">
        <f>[1]!LIM(AT579+Mode*r0*((1+IntegrationStep/2/Ti+Td/IntegrationStep)*AS580-(1-IntegrationStep/2/Ti+2*Td/IntegrationStep)*AS579+Td/IntegrationStep*AS578))</f>
        <v>0.40307870349176872</v>
      </c>
      <c r="AU580" s="212">
        <f t="shared" si="75"/>
        <v>40.794124671602574</v>
      </c>
      <c r="AW580" s="58"/>
      <c r="AX580" s="58"/>
      <c r="AY580" s="58"/>
      <c r="AZ580" s="58"/>
    </row>
    <row r="581" spans="1:52" s="185" customFormat="1" ht="15" customHeight="1" x14ac:dyDescent="0.25">
      <c r="A581" s="200"/>
      <c r="B581" s="211"/>
      <c r="C581" s="212">
        <f t="shared" si="76"/>
        <v>57.00000000000054</v>
      </c>
      <c r="D581" s="231">
        <f>15+[1]!STEPLOAD(5)</f>
        <v>20</v>
      </c>
      <c r="E581" s="212">
        <f t="shared" si="78"/>
        <v>40.794124675104491</v>
      </c>
      <c r="F581" s="212">
        <f t="shared" si="79"/>
        <v>0.5</v>
      </c>
      <c r="G581" s="212">
        <f>5</f>
        <v>5</v>
      </c>
      <c r="H581" s="212">
        <f t="shared" si="77"/>
        <v>48.369444420028167</v>
      </c>
      <c r="I581" s="212">
        <f t="shared" si="80"/>
        <v>0.9</v>
      </c>
      <c r="J581" s="212">
        <f>1</f>
        <v>1</v>
      </c>
      <c r="K581" s="212">
        <f t="shared" si="81"/>
        <v>4.1870000000000003</v>
      </c>
      <c r="L581" s="212"/>
      <c r="M581" s="212"/>
      <c r="N581" s="212"/>
      <c r="O581" s="212"/>
      <c r="P581" s="212"/>
      <c r="Q581" s="212"/>
      <c r="R581" s="212"/>
      <c r="S581" s="212"/>
      <c r="T581" s="212"/>
      <c r="U581" s="212"/>
      <c r="V581" s="212"/>
      <c r="W581" s="212"/>
      <c r="X581" s="212"/>
      <c r="Y581" s="212"/>
      <c r="Z581" s="212"/>
      <c r="AA581" s="212"/>
      <c r="AB581" s="212"/>
      <c r="AC581" s="196"/>
      <c r="AD581" s="27"/>
      <c r="AE581" s="213"/>
      <c r="AF581" s="212">
        <f t="shared" si="82"/>
        <v>-1.3998522341296393E-9</v>
      </c>
      <c r="AG581" s="212"/>
      <c r="AH581" s="212"/>
      <c r="AI581" s="212"/>
      <c r="AJ581" s="212"/>
      <c r="AK581" s="212"/>
      <c r="AL581" s="212"/>
      <c r="AM581" s="212"/>
      <c r="AN581" s="212"/>
      <c r="AO581" s="212"/>
      <c r="AP581" s="196"/>
      <c r="AQ581" s="196"/>
      <c r="AR581" s="211"/>
      <c r="AS581" s="212">
        <f t="shared" si="74"/>
        <v>-3.5019169786210115E-11</v>
      </c>
      <c r="AT581" s="212">
        <f>[1]!LIM(AT580+Mode*r0*((1+IntegrationStep/2/Ti+Td/IntegrationStep)*AS581-(1-IntegrationStep/2/Ti+2*Td/IntegrationStep)*AS580+Td/IntegrationStep*AS579))</f>
        <v>0.40307870350023473</v>
      </c>
      <c r="AU581" s="212">
        <f t="shared" si="75"/>
        <v>40.794124671602574</v>
      </c>
      <c r="AW581" s="58"/>
      <c r="AX581" s="58"/>
      <c r="AY581" s="58"/>
      <c r="AZ581" s="58"/>
    </row>
    <row r="582" spans="1:52" s="185" customFormat="1" ht="15" customHeight="1" x14ac:dyDescent="0.25">
      <c r="A582" s="200"/>
      <c r="B582" s="211"/>
      <c r="C582" s="212">
        <f t="shared" si="76"/>
        <v>57.100000000000541</v>
      </c>
      <c r="D582" s="231">
        <f>15+[1]!STEPLOAD(5)</f>
        <v>20</v>
      </c>
      <c r="E582" s="212">
        <f t="shared" si="78"/>
        <v>40.794124674964507</v>
      </c>
      <c r="F582" s="212">
        <f t="shared" si="79"/>
        <v>0.5</v>
      </c>
      <c r="G582" s="212">
        <f>5</f>
        <v>5</v>
      </c>
      <c r="H582" s="212">
        <f t="shared" si="77"/>
        <v>48.369444421003514</v>
      </c>
      <c r="I582" s="212">
        <f t="shared" si="80"/>
        <v>0.9</v>
      </c>
      <c r="J582" s="212">
        <f>1</f>
        <v>1</v>
      </c>
      <c r="K582" s="212">
        <f t="shared" si="81"/>
        <v>4.1870000000000003</v>
      </c>
      <c r="L582" s="212"/>
      <c r="M582" s="212"/>
      <c r="N582" s="212"/>
      <c r="O582" s="212"/>
      <c r="P582" s="212"/>
      <c r="Q582" s="212"/>
      <c r="R582" s="212"/>
      <c r="S582" s="212"/>
      <c r="T582" s="212"/>
      <c r="U582" s="212"/>
      <c r="V582" s="212"/>
      <c r="W582" s="212"/>
      <c r="X582" s="212"/>
      <c r="Y582" s="212"/>
      <c r="Z582" s="212"/>
      <c r="AA582" s="212"/>
      <c r="AB582" s="212"/>
      <c r="AC582" s="196"/>
      <c r="AD582" s="27"/>
      <c r="AE582" s="213"/>
      <c r="AF582" s="212">
        <f t="shared" si="82"/>
        <v>-1.3439236390411224E-9</v>
      </c>
      <c r="AG582" s="212"/>
      <c r="AH582" s="212"/>
      <c r="AI582" s="212"/>
      <c r="AJ582" s="212"/>
      <c r="AK582" s="212"/>
      <c r="AL582" s="212"/>
      <c r="AM582" s="212"/>
      <c r="AN582" s="212"/>
      <c r="AO582" s="212"/>
      <c r="AP582" s="196"/>
      <c r="AQ582" s="196"/>
      <c r="AR582" s="211"/>
      <c r="AS582" s="212">
        <f t="shared" si="74"/>
        <v>-3.361932954248914E-11</v>
      </c>
      <c r="AT582" s="212">
        <f>[1]!LIM(AT581+Mode*r0*((1+IntegrationStep/2/Ti+Td/IntegrationStep)*AS582-(1-IntegrationStep/2/Ti+2*Td/IntegrationStep)*AS581+Td/IntegrationStep*AS580))</f>
        <v>0.40307870350836261</v>
      </c>
      <c r="AU582" s="212">
        <f t="shared" si="75"/>
        <v>40.794124671602574</v>
      </c>
      <c r="AW582" s="58"/>
      <c r="AX582" s="58"/>
      <c r="AY582" s="58"/>
      <c r="AZ582" s="58"/>
    </row>
    <row r="583" spans="1:52" s="185" customFormat="1" ht="15" customHeight="1" x14ac:dyDescent="0.25">
      <c r="A583" s="200"/>
      <c r="B583" s="211"/>
      <c r="C583" s="212">
        <f t="shared" si="76"/>
        <v>57.200000000000543</v>
      </c>
      <c r="D583" s="231">
        <f>15+[1]!STEPLOAD(5)</f>
        <v>20</v>
      </c>
      <c r="E583" s="212">
        <f t="shared" si="78"/>
        <v>40.794124674830115</v>
      </c>
      <c r="F583" s="212">
        <f t="shared" si="79"/>
        <v>0.5</v>
      </c>
      <c r="G583" s="212">
        <f>5</f>
        <v>5</v>
      </c>
      <c r="H583" s="212">
        <f t="shared" si="77"/>
        <v>48.369444421939939</v>
      </c>
      <c r="I583" s="212">
        <f t="shared" si="80"/>
        <v>0.9</v>
      </c>
      <c r="J583" s="212">
        <f>1</f>
        <v>1</v>
      </c>
      <c r="K583" s="212">
        <f t="shared" si="81"/>
        <v>4.1870000000000003</v>
      </c>
      <c r="L583" s="212"/>
      <c r="M583" s="212"/>
      <c r="N583" s="212"/>
      <c r="O583" s="212"/>
      <c r="P583" s="212"/>
      <c r="Q583" s="212"/>
      <c r="R583" s="212"/>
      <c r="S583" s="212"/>
      <c r="T583" s="212"/>
      <c r="U583" s="212"/>
      <c r="V583" s="212"/>
      <c r="W583" s="212"/>
      <c r="X583" s="212"/>
      <c r="Y583" s="212"/>
      <c r="Z583" s="212"/>
      <c r="AA583" s="212"/>
      <c r="AB583" s="212"/>
      <c r="AC583" s="196"/>
      <c r="AD583" s="27"/>
      <c r="AE583" s="213"/>
      <c r="AF583" s="212">
        <f t="shared" si="82"/>
        <v>-1.290227036321312E-9</v>
      </c>
      <c r="AG583" s="212"/>
      <c r="AH583" s="212"/>
      <c r="AI583" s="212"/>
      <c r="AJ583" s="212"/>
      <c r="AK583" s="212"/>
      <c r="AL583" s="212"/>
      <c r="AM583" s="212"/>
      <c r="AN583" s="212"/>
      <c r="AO583" s="212"/>
      <c r="AP583" s="196"/>
      <c r="AQ583" s="196"/>
      <c r="AR583" s="211"/>
      <c r="AS583" s="212">
        <f t="shared" si="74"/>
        <v>-3.2275409012072484E-11</v>
      </c>
      <c r="AT583" s="212">
        <f>[1]!LIM(AT582+Mode*r0*((1+IntegrationStep/2/Ti+Td/IntegrationStep)*AS583-(1-IntegrationStep/2/Ti+2*Td/IntegrationStep)*AS582+Td/IntegrationStep*AS581))</f>
        <v>0.40307870351616615</v>
      </c>
      <c r="AU583" s="212">
        <f t="shared" si="75"/>
        <v>40.794124671602574</v>
      </c>
      <c r="AW583" s="58"/>
      <c r="AX583" s="58"/>
      <c r="AY583" s="58"/>
      <c r="AZ583" s="58"/>
    </row>
    <row r="584" spans="1:52" s="185" customFormat="1" ht="15" customHeight="1" x14ac:dyDescent="0.25">
      <c r="A584" s="200"/>
      <c r="B584" s="211"/>
      <c r="C584" s="212">
        <f t="shared" si="76"/>
        <v>57.300000000000544</v>
      </c>
      <c r="D584" s="231">
        <f>15+[1]!STEPLOAD(5)</f>
        <v>20</v>
      </c>
      <c r="E584" s="212">
        <f t="shared" si="78"/>
        <v>40.794124674701095</v>
      </c>
      <c r="F584" s="212">
        <f t="shared" si="79"/>
        <v>0.5</v>
      </c>
      <c r="G584" s="212">
        <f>5</f>
        <v>5</v>
      </c>
      <c r="H584" s="212">
        <f t="shared" si="77"/>
        <v>48.369444422838939</v>
      </c>
      <c r="I584" s="212">
        <f t="shared" si="80"/>
        <v>0.9</v>
      </c>
      <c r="J584" s="212">
        <f>1</f>
        <v>1</v>
      </c>
      <c r="K584" s="212">
        <f t="shared" si="81"/>
        <v>4.1870000000000003</v>
      </c>
      <c r="L584" s="212"/>
      <c r="M584" s="212"/>
      <c r="N584" s="212"/>
      <c r="O584" s="212"/>
      <c r="P584" s="212"/>
      <c r="Q584" s="212"/>
      <c r="R584" s="212"/>
      <c r="S584" s="212"/>
      <c r="T584" s="212"/>
      <c r="U584" s="212"/>
      <c r="V584" s="212"/>
      <c r="W584" s="212"/>
      <c r="X584" s="212"/>
      <c r="Y584" s="212"/>
      <c r="Z584" s="212"/>
      <c r="AA584" s="212"/>
      <c r="AB584" s="212"/>
      <c r="AC584" s="196"/>
      <c r="AD584" s="27"/>
      <c r="AE584" s="213"/>
      <c r="AF584" s="212">
        <f t="shared" si="82"/>
        <v>-1.2386771608419167E-9</v>
      </c>
      <c r="AG584" s="212"/>
      <c r="AH584" s="212"/>
      <c r="AI584" s="212"/>
      <c r="AJ584" s="212"/>
      <c r="AK584" s="212"/>
      <c r="AL584" s="212"/>
      <c r="AM584" s="212"/>
      <c r="AN584" s="212"/>
      <c r="AO584" s="212"/>
      <c r="AP584" s="196"/>
      <c r="AQ584" s="196"/>
      <c r="AR584" s="211"/>
      <c r="AS584" s="212">
        <f t="shared" si="74"/>
        <v>-3.0985205512479295E-11</v>
      </c>
      <c r="AT584" s="212">
        <f>[1]!LIM(AT583+Mode*r0*((1+IntegrationStep/2/Ti+Td/IntegrationStep)*AS584-(1-IntegrationStep/2/Ti+2*Td/IntegrationStep)*AS583+Td/IntegrationStep*AS582))</f>
        <v>0.40307870352365782</v>
      </c>
      <c r="AU584" s="212">
        <f t="shared" si="75"/>
        <v>40.794124671602574</v>
      </c>
      <c r="AW584" s="58"/>
      <c r="AX584" s="58"/>
      <c r="AY584" s="58"/>
      <c r="AZ584" s="58"/>
    </row>
    <row r="585" spans="1:52" s="185" customFormat="1" ht="15" customHeight="1" x14ac:dyDescent="0.25">
      <c r="A585" s="200"/>
      <c r="B585" s="211"/>
      <c r="C585" s="212">
        <f t="shared" si="76"/>
        <v>57.400000000000546</v>
      </c>
      <c r="D585" s="231">
        <f>15+[1]!STEPLOAD(5)</f>
        <v>20</v>
      </c>
      <c r="E585" s="212">
        <f t="shared" si="78"/>
        <v>40.794124674577226</v>
      </c>
      <c r="F585" s="212">
        <f t="shared" si="79"/>
        <v>0.5</v>
      </c>
      <c r="G585" s="212">
        <f>5</f>
        <v>5</v>
      </c>
      <c r="H585" s="212">
        <f t="shared" si="77"/>
        <v>48.369444423702113</v>
      </c>
      <c r="I585" s="212">
        <f t="shared" si="80"/>
        <v>0.9</v>
      </c>
      <c r="J585" s="212">
        <f>1</f>
        <v>1</v>
      </c>
      <c r="K585" s="212">
        <f t="shared" si="81"/>
        <v>4.1870000000000003</v>
      </c>
      <c r="L585" s="212"/>
      <c r="M585" s="212"/>
      <c r="N585" s="212"/>
      <c r="O585" s="212"/>
      <c r="P585" s="212"/>
      <c r="Q585" s="212"/>
      <c r="R585" s="212"/>
      <c r="S585" s="212"/>
      <c r="T585" s="212"/>
      <c r="U585" s="212"/>
      <c r="V585" s="212"/>
      <c r="W585" s="212"/>
      <c r="X585" s="212"/>
      <c r="Y585" s="212"/>
      <c r="Z585" s="212"/>
      <c r="AA585" s="212"/>
      <c r="AB585" s="212"/>
      <c r="AC585" s="196"/>
      <c r="AD585" s="27"/>
      <c r="AE585" s="213"/>
      <c r="AF585" s="212">
        <f t="shared" si="82"/>
        <v>-1.1891820861364977E-9</v>
      </c>
      <c r="AG585" s="212"/>
      <c r="AH585" s="212"/>
      <c r="AI585" s="212"/>
      <c r="AJ585" s="212"/>
      <c r="AK585" s="212"/>
      <c r="AL585" s="212"/>
      <c r="AM585" s="212"/>
      <c r="AN585" s="212"/>
      <c r="AO585" s="212"/>
      <c r="AP585" s="196"/>
      <c r="AQ585" s="196"/>
      <c r="AR585" s="211"/>
      <c r="AS585" s="212">
        <f t="shared" si="74"/>
        <v>-2.9746516361228713E-11</v>
      </c>
      <c r="AT585" s="212">
        <f>[1]!LIM(AT584+Mode*r0*((1+IntegrationStep/2/Ti+Td/IntegrationStep)*AS585-(1-IntegrationStep/2/Ti+2*Td/IntegrationStep)*AS584+Td/IntegrationStep*AS583))</f>
        <v>0.40307870353085096</v>
      </c>
      <c r="AU585" s="212">
        <f t="shared" si="75"/>
        <v>40.794124671602574</v>
      </c>
      <c r="AW585" s="58"/>
      <c r="AX585" s="58"/>
      <c r="AY585" s="58"/>
      <c r="AZ585" s="58"/>
    </row>
    <row r="586" spans="1:52" s="185" customFormat="1" ht="15" customHeight="1" x14ac:dyDescent="0.25">
      <c r="A586" s="200"/>
      <c r="B586" s="211"/>
      <c r="C586" s="212">
        <f t="shared" si="76"/>
        <v>57.500000000000547</v>
      </c>
      <c r="D586" s="231">
        <f>15+[1]!STEPLOAD(5)</f>
        <v>20</v>
      </c>
      <c r="E586" s="212">
        <f t="shared" si="78"/>
        <v>40.79412467445831</v>
      </c>
      <c r="F586" s="212">
        <f t="shared" si="79"/>
        <v>0.5</v>
      </c>
      <c r="G586" s="212">
        <f>5</f>
        <v>5</v>
      </c>
      <c r="H586" s="212">
        <f t="shared" si="77"/>
        <v>48.369444424530769</v>
      </c>
      <c r="I586" s="212">
        <f t="shared" si="80"/>
        <v>0.9</v>
      </c>
      <c r="J586" s="212">
        <f>1</f>
        <v>1</v>
      </c>
      <c r="K586" s="212">
        <f t="shared" si="81"/>
        <v>4.1870000000000003</v>
      </c>
      <c r="L586" s="212"/>
      <c r="M586" s="212"/>
      <c r="N586" s="212"/>
      <c r="O586" s="212"/>
      <c r="P586" s="212"/>
      <c r="Q586" s="212"/>
      <c r="R586" s="212"/>
      <c r="S586" s="212"/>
      <c r="T586" s="212"/>
      <c r="U586" s="212"/>
      <c r="V586" s="212"/>
      <c r="W586" s="212"/>
      <c r="X586" s="212"/>
      <c r="Y586" s="212"/>
      <c r="Z586" s="212"/>
      <c r="AA586" s="212"/>
      <c r="AB586" s="212"/>
      <c r="AC586" s="196"/>
      <c r="AD586" s="27"/>
      <c r="AE586" s="213"/>
      <c r="AF586" s="212">
        <f t="shared" si="82"/>
        <v>-1.1416658729501705E-9</v>
      </c>
      <c r="AG586" s="212"/>
      <c r="AH586" s="212"/>
      <c r="AI586" s="212"/>
      <c r="AJ586" s="212"/>
      <c r="AK586" s="212"/>
      <c r="AL586" s="212"/>
      <c r="AM586" s="212"/>
      <c r="AN586" s="212"/>
      <c r="AO586" s="212"/>
      <c r="AP586" s="196"/>
      <c r="AQ586" s="196"/>
      <c r="AR586" s="211"/>
      <c r="AS586" s="212">
        <f t="shared" si="74"/>
        <v>-2.8557352038660612E-11</v>
      </c>
      <c r="AT586" s="212">
        <f>[1]!LIM(AT585+Mode*r0*((1+IntegrationStep/2/Ti+Td/IntegrationStep)*AS586-(1-IntegrationStep/2/Ti+2*Td/IntegrationStep)*AS585+Td/IntegrationStep*AS584))</f>
        <v>0.40307870353775643</v>
      </c>
      <c r="AU586" s="212">
        <f t="shared" si="75"/>
        <v>40.794124671602574</v>
      </c>
      <c r="AW586" s="58"/>
      <c r="AX586" s="58"/>
      <c r="AY586" s="58"/>
      <c r="AZ586" s="58"/>
    </row>
    <row r="587" spans="1:52" s="185" customFormat="1" ht="15" customHeight="1" x14ac:dyDescent="0.25">
      <c r="A587" s="200"/>
      <c r="B587" s="211"/>
      <c r="C587" s="212">
        <f t="shared" si="76"/>
        <v>57.600000000000549</v>
      </c>
      <c r="D587" s="231">
        <f>15+[1]!STEPLOAD(5)</f>
        <v>20</v>
      </c>
      <c r="E587" s="212">
        <f t="shared" si="78"/>
        <v>40.79412467434414</v>
      </c>
      <c r="F587" s="212">
        <f t="shared" si="79"/>
        <v>0.5</v>
      </c>
      <c r="G587" s="212">
        <f>5</f>
        <v>5</v>
      </c>
      <c r="H587" s="212">
        <f t="shared" si="77"/>
        <v>48.369444425326442</v>
      </c>
      <c r="I587" s="212">
        <f t="shared" si="80"/>
        <v>0.9</v>
      </c>
      <c r="J587" s="212">
        <f>1</f>
        <v>1</v>
      </c>
      <c r="K587" s="212">
        <f t="shared" si="81"/>
        <v>4.1870000000000003</v>
      </c>
      <c r="L587" s="212"/>
      <c r="M587" s="212"/>
      <c r="N587" s="212"/>
      <c r="O587" s="212"/>
      <c r="P587" s="212"/>
      <c r="Q587" s="212"/>
      <c r="R587" s="212"/>
      <c r="S587" s="212"/>
      <c r="T587" s="212"/>
      <c r="U587" s="212"/>
      <c r="V587" s="212"/>
      <c r="W587" s="212"/>
      <c r="X587" s="212"/>
      <c r="Y587" s="212"/>
      <c r="Z587" s="212"/>
      <c r="AA587" s="212"/>
      <c r="AB587" s="212"/>
      <c r="AC587" s="196"/>
      <c r="AD587" s="27"/>
      <c r="AE587" s="213"/>
      <c r="AF587" s="212">
        <f t="shared" si="82"/>
        <v>-1.0960428120654342E-9</v>
      </c>
      <c r="AG587" s="212"/>
      <c r="AH587" s="212"/>
      <c r="AI587" s="212"/>
      <c r="AJ587" s="212"/>
      <c r="AK587" s="212"/>
      <c r="AL587" s="212"/>
      <c r="AM587" s="212"/>
      <c r="AN587" s="212"/>
      <c r="AO587" s="212"/>
      <c r="AP587" s="196"/>
      <c r="AQ587" s="196"/>
      <c r="AR587" s="211"/>
      <c r="AS587" s="212">
        <f t="shared" ref="AS587:AS611" si="83">(AU587-E587)/(MeasuredVariableHigher-MeasuredVariableLower)</f>
        <v>-2.7415651970841281E-11</v>
      </c>
      <c r="AT587" s="212">
        <f>[1]!LIM(AT586+Mode*r0*((1+IntegrationStep/2/Ti+Td/IntegrationStep)*AS587-(1-IntegrationStep/2/Ti+2*Td/IntegrationStep)*AS586+Td/IntegrationStep*AS585))</f>
        <v>0.40307870354438702</v>
      </c>
      <c r="AU587" s="212">
        <f t="shared" ref="AU587:AU611" si="84">SetPoint</f>
        <v>40.794124671602574</v>
      </c>
      <c r="AW587" s="58"/>
      <c r="AX587" s="58"/>
      <c r="AY587" s="58"/>
      <c r="AZ587" s="58"/>
    </row>
    <row r="588" spans="1:52" s="185" customFormat="1" ht="15" customHeight="1" x14ac:dyDescent="0.25">
      <c r="A588" s="200"/>
      <c r="B588" s="211"/>
      <c r="C588" s="212">
        <f t="shared" ref="C588:C611" si="85">C587+IntegrationStep</f>
        <v>57.70000000000055</v>
      </c>
      <c r="D588" s="231">
        <f>15+[1]!STEPLOAD(5)</f>
        <v>20</v>
      </c>
      <c r="E588" s="212">
        <f t="shared" si="78"/>
        <v>40.794124674234538</v>
      </c>
      <c r="F588" s="212">
        <f t="shared" si="79"/>
        <v>0.5</v>
      </c>
      <c r="G588" s="212">
        <f>5</f>
        <v>5</v>
      </c>
      <c r="H588" s="212">
        <f t="shared" ref="H588:H611" si="86">ManipulatedVariableHigher*AT588</f>
        <v>48.369444426090219</v>
      </c>
      <c r="I588" s="212">
        <f t="shared" si="80"/>
        <v>0.9</v>
      </c>
      <c r="J588" s="212">
        <f>1</f>
        <v>1</v>
      </c>
      <c r="K588" s="212">
        <f t="shared" si="81"/>
        <v>4.1870000000000003</v>
      </c>
      <c r="L588" s="212"/>
      <c r="M588" s="212"/>
      <c r="N588" s="212"/>
      <c r="O588" s="212"/>
      <c r="P588" s="212"/>
      <c r="Q588" s="212"/>
      <c r="R588" s="212"/>
      <c r="S588" s="212"/>
      <c r="T588" s="212"/>
      <c r="U588" s="212"/>
      <c r="V588" s="212"/>
      <c r="W588" s="212"/>
      <c r="X588" s="212"/>
      <c r="Y588" s="212"/>
      <c r="Z588" s="212"/>
      <c r="AA588" s="212"/>
      <c r="AB588" s="212"/>
      <c r="AC588" s="196"/>
      <c r="AD588" s="27"/>
      <c r="AE588" s="213"/>
      <c r="AF588" s="212">
        <f t="shared" si="82"/>
        <v>-1.0522480664576506E-9</v>
      </c>
      <c r="AG588" s="212"/>
      <c r="AH588" s="212"/>
      <c r="AI588" s="212"/>
      <c r="AJ588" s="212"/>
      <c r="AK588" s="212"/>
      <c r="AL588" s="212"/>
      <c r="AM588" s="212"/>
      <c r="AN588" s="212"/>
      <c r="AO588" s="212"/>
      <c r="AP588" s="196"/>
      <c r="AQ588" s="196"/>
      <c r="AR588" s="211"/>
      <c r="AS588" s="212">
        <f t="shared" si="83"/>
        <v>-2.6319639800931326E-11</v>
      </c>
      <c r="AT588" s="212">
        <f>[1]!LIM(AT587+Mode*r0*((1+IntegrationStep/2/Ti+Td/IntegrationStep)*AS588-(1-IntegrationStep/2/Ti+2*Td/IntegrationStep)*AS587+Td/IntegrationStep*AS586))</f>
        <v>0.40307870355075182</v>
      </c>
      <c r="AU588" s="212">
        <f t="shared" si="84"/>
        <v>40.794124671602574</v>
      </c>
      <c r="AW588" s="58"/>
      <c r="AX588" s="58"/>
      <c r="AY588" s="58"/>
      <c r="AZ588" s="58"/>
    </row>
    <row r="589" spans="1:52" s="185" customFormat="1" ht="15" customHeight="1" x14ac:dyDescent="0.25">
      <c r="A589" s="200"/>
      <c r="B589" s="211"/>
      <c r="C589" s="212">
        <f t="shared" si="85"/>
        <v>57.800000000000551</v>
      </c>
      <c r="D589" s="231">
        <f>15+[1]!STEPLOAD(5)</f>
        <v>20</v>
      </c>
      <c r="E589" s="212">
        <f t="shared" ref="E589:E611" si="87">E588+(C589-C588)*AF588</f>
        <v>40.794124674129314</v>
      </c>
      <c r="F589" s="212">
        <f t="shared" ref="F589:F611" si="88">0.5</f>
        <v>0.5</v>
      </c>
      <c r="G589" s="212">
        <f>5</f>
        <v>5</v>
      </c>
      <c r="H589" s="212">
        <f t="shared" si="86"/>
        <v>48.369444426823542</v>
      </c>
      <c r="I589" s="212">
        <f t="shared" ref="I589:I611" si="89">0.9</f>
        <v>0.9</v>
      </c>
      <c r="J589" s="212">
        <f>1</f>
        <v>1</v>
      </c>
      <c r="K589" s="212">
        <f t="shared" ref="K589:K611" si="90">4.187</f>
        <v>4.1870000000000003</v>
      </c>
      <c r="L589" s="212"/>
      <c r="M589" s="212"/>
      <c r="N589" s="212"/>
      <c r="O589" s="212"/>
      <c r="P589" s="212"/>
      <c r="Q589" s="212"/>
      <c r="R589" s="212"/>
      <c r="S589" s="212"/>
      <c r="T589" s="212"/>
      <c r="U589" s="212"/>
      <c r="V589" s="212"/>
      <c r="W589" s="212"/>
      <c r="X589" s="212"/>
      <c r="Y589" s="212"/>
      <c r="Z589" s="212"/>
      <c r="AA589" s="212"/>
      <c r="AB589" s="212"/>
      <c r="AC589" s="196"/>
      <c r="AD589" s="27"/>
      <c r="AE589" s="213"/>
      <c r="AF589" s="212">
        <f t="shared" ref="AF589:AF611" si="91">F589/G589*(D589-E589)+H589*I589/G589/J589/K589</f>
        <v>-1.0101999237122072E-9</v>
      </c>
      <c r="AG589" s="212"/>
      <c r="AH589" s="212"/>
      <c r="AI589" s="212"/>
      <c r="AJ589" s="212"/>
      <c r="AK589" s="212"/>
      <c r="AL589" s="212"/>
      <c r="AM589" s="212"/>
      <c r="AN589" s="212"/>
      <c r="AO589" s="212"/>
      <c r="AP589" s="196"/>
      <c r="AQ589" s="196"/>
      <c r="AR589" s="211"/>
      <c r="AS589" s="212">
        <f t="shared" si="83"/>
        <v>-2.5267397063544196E-11</v>
      </c>
      <c r="AT589" s="212">
        <f>[1]!LIM(AT588+Mode*r0*((1+IntegrationStep/2/Ti+Td/IntegrationStep)*AS589-(1-IntegrationStep/2/Ti+2*Td/IntegrationStep)*AS588+Td/IntegrationStep*AS587))</f>
        <v>0.40307870355686287</v>
      </c>
      <c r="AU589" s="212">
        <f t="shared" si="84"/>
        <v>40.794124671602574</v>
      </c>
      <c r="AW589" s="58"/>
      <c r="AX589" s="58"/>
      <c r="AY589" s="58"/>
      <c r="AZ589" s="58"/>
    </row>
    <row r="590" spans="1:52" s="185" customFormat="1" ht="15" customHeight="1" x14ac:dyDescent="0.25">
      <c r="A590" s="200"/>
      <c r="B590" s="211"/>
      <c r="C590" s="212">
        <f t="shared" si="85"/>
        <v>57.900000000000553</v>
      </c>
      <c r="D590" s="231">
        <f>15+[1]!STEPLOAD(5)</f>
        <v>20</v>
      </c>
      <c r="E590" s="212">
        <f t="shared" si="87"/>
        <v>40.794124674028296</v>
      </c>
      <c r="F590" s="212">
        <f t="shared" si="88"/>
        <v>0.5</v>
      </c>
      <c r="G590" s="212">
        <f>5</f>
        <v>5</v>
      </c>
      <c r="H590" s="212">
        <f t="shared" si="86"/>
        <v>48.369444427527561</v>
      </c>
      <c r="I590" s="212">
        <f t="shared" si="89"/>
        <v>0.9</v>
      </c>
      <c r="J590" s="212">
        <f>1</f>
        <v>1</v>
      </c>
      <c r="K590" s="212">
        <f t="shared" si="90"/>
        <v>4.1870000000000003</v>
      </c>
      <c r="L590" s="212"/>
      <c r="M590" s="212"/>
      <c r="N590" s="212"/>
      <c r="O590" s="212"/>
      <c r="P590" s="212"/>
      <c r="Q590" s="212"/>
      <c r="R590" s="212"/>
      <c r="S590" s="212"/>
      <c r="T590" s="212"/>
      <c r="U590" s="212"/>
      <c r="V590" s="212"/>
      <c r="W590" s="212"/>
      <c r="X590" s="212"/>
      <c r="Y590" s="212"/>
      <c r="Z590" s="212"/>
      <c r="AA590" s="212"/>
      <c r="AB590" s="212"/>
      <c r="AC590" s="196"/>
      <c r="AD590" s="27"/>
      <c r="AE590" s="213"/>
      <c r="AF590" s="212">
        <f t="shared" si="91"/>
        <v>-9.6983221453683655E-10</v>
      </c>
      <c r="AG590" s="212"/>
      <c r="AH590" s="212"/>
      <c r="AI590" s="212"/>
      <c r="AJ590" s="212"/>
      <c r="AK590" s="212"/>
      <c r="AL590" s="212"/>
      <c r="AM590" s="212"/>
      <c r="AN590" s="212"/>
      <c r="AO590" s="212"/>
      <c r="AP590" s="196"/>
      <c r="AQ590" s="196"/>
      <c r="AR590" s="211"/>
      <c r="AS590" s="212">
        <f t="shared" si="83"/>
        <v>-2.4257218456114061E-11</v>
      </c>
      <c r="AT590" s="212">
        <f>[1]!LIM(AT589+Mode*r0*((1+IntegrationStep/2/Ti+Td/IntegrationStep)*AS590-(1-IntegrationStep/2/Ti+2*Td/IntegrationStep)*AS589+Td/IntegrationStep*AS588))</f>
        <v>0.40307870356272968</v>
      </c>
      <c r="AU590" s="212">
        <f t="shared" si="84"/>
        <v>40.794124671602574</v>
      </c>
      <c r="AW590" s="58"/>
      <c r="AX590" s="58"/>
      <c r="AY590" s="58"/>
      <c r="AZ590" s="58"/>
    </row>
    <row r="591" spans="1:52" s="185" customFormat="1" ht="15" customHeight="1" x14ac:dyDescent="0.25">
      <c r="A591" s="200"/>
      <c r="B591" s="211"/>
      <c r="C591" s="212">
        <f t="shared" si="85"/>
        <v>58.000000000000554</v>
      </c>
      <c r="D591" s="231">
        <f>15+[1]!STEPLOAD(5)</f>
        <v>20</v>
      </c>
      <c r="E591" s="212">
        <f t="shared" si="87"/>
        <v>40.794124673931314</v>
      </c>
      <c r="F591" s="212">
        <f t="shared" si="88"/>
        <v>0.5</v>
      </c>
      <c r="G591" s="212">
        <f>5</f>
        <v>5</v>
      </c>
      <c r="H591" s="212">
        <f t="shared" si="86"/>
        <v>48.369444428203479</v>
      </c>
      <c r="I591" s="212">
        <f t="shared" si="89"/>
        <v>0.9</v>
      </c>
      <c r="J591" s="212">
        <f>1</f>
        <v>1</v>
      </c>
      <c r="K591" s="212">
        <f t="shared" si="90"/>
        <v>4.1870000000000003</v>
      </c>
      <c r="L591" s="212"/>
      <c r="M591" s="212"/>
      <c r="N591" s="212"/>
      <c r="O591" s="212"/>
      <c r="P591" s="212"/>
      <c r="Q591" s="212"/>
      <c r="R591" s="212"/>
      <c r="S591" s="212"/>
      <c r="T591" s="212"/>
      <c r="U591" s="212"/>
      <c r="V591" s="212"/>
      <c r="W591" s="212"/>
      <c r="X591" s="212"/>
      <c r="Y591" s="212"/>
      <c r="Z591" s="212"/>
      <c r="AA591" s="212"/>
      <c r="AB591" s="212"/>
      <c r="AC591" s="196"/>
      <c r="AD591" s="27"/>
      <c r="AE591" s="213"/>
      <c r="AF591" s="212">
        <f t="shared" si="91"/>
        <v>-9.3107610510401173E-10</v>
      </c>
      <c r="AG591" s="212"/>
      <c r="AH591" s="212"/>
      <c r="AI591" s="212"/>
      <c r="AJ591" s="212"/>
      <c r="AK591" s="212"/>
      <c r="AL591" s="212"/>
      <c r="AM591" s="212"/>
      <c r="AN591" s="212"/>
      <c r="AO591" s="212"/>
      <c r="AP591" s="196"/>
      <c r="AQ591" s="196"/>
      <c r="AR591" s="211"/>
      <c r="AS591" s="212">
        <f t="shared" si="83"/>
        <v>-2.3287398676075098E-11</v>
      </c>
      <c r="AT591" s="212">
        <f>[1]!LIM(AT590+Mode*r0*((1+IntegrationStep/2/Ti+Td/IntegrationStep)*AS591-(1-IntegrationStep/2/Ti+2*Td/IntegrationStep)*AS590+Td/IntegrationStep*AS589))</f>
        <v>0.40307870356836234</v>
      </c>
      <c r="AU591" s="212">
        <f t="shared" si="84"/>
        <v>40.794124671602574</v>
      </c>
      <c r="AW591" s="58"/>
      <c r="AX591" s="58"/>
      <c r="AY591" s="58"/>
      <c r="AZ591" s="58"/>
    </row>
    <row r="592" spans="1:52" s="185" customFormat="1" ht="15" customHeight="1" x14ac:dyDescent="0.25">
      <c r="A592" s="200"/>
      <c r="B592" s="211"/>
      <c r="C592" s="212">
        <f t="shared" si="85"/>
        <v>58.100000000000556</v>
      </c>
      <c r="D592" s="231">
        <f>15+[1]!STEPLOAD(5)</f>
        <v>20</v>
      </c>
      <c r="E592" s="212">
        <f t="shared" si="87"/>
        <v>40.794124673838205</v>
      </c>
      <c r="F592" s="212">
        <f t="shared" si="88"/>
        <v>0.5</v>
      </c>
      <c r="G592" s="212">
        <f>5</f>
        <v>5</v>
      </c>
      <c r="H592" s="212">
        <f t="shared" si="86"/>
        <v>48.369444428852468</v>
      </c>
      <c r="I592" s="212">
        <f t="shared" si="89"/>
        <v>0.9</v>
      </c>
      <c r="J592" s="212">
        <f>1</f>
        <v>1</v>
      </c>
      <c r="K592" s="212">
        <f t="shared" si="90"/>
        <v>4.1870000000000003</v>
      </c>
      <c r="L592" s="212"/>
      <c r="M592" s="212"/>
      <c r="N592" s="212"/>
      <c r="O592" s="212"/>
      <c r="P592" s="212"/>
      <c r="Q592" s="212"/>
      <c r="R592" s="212"/>
      <c r="S592" s="212"/>
      <c r="T592" s="212"/>
      <c r="U592" s="212"/>
      <c r="V592" s="212"/>
      <c r="W592" s="212"/>
      <c r="X592" s="212"/>
      <c r="Y592" s="212"/>
      <c r="Z592" s="212"/>
      <c r="AA592" s="212"/>
      <c r="AB592" s="212"/>
      <c r="AC592" s="196"/>
      <c r="AD592" s="27"/>
      <c r="AE592" s="213"/>
      <c r="AF592" s="212">
        <f t="shared" si="91"/>
        <v>-8.9386542612146513E-10</v>
      </c>
      <c r="AG592" s="212"/>
      <c r="AH592" s="212"/>
      <c r="AI592" s="212"/>
      <c r="AJ592" s="212"/>
      <c r="AK592" s="212"/>
      <c r="AL592" s="212"/>
      <c r="AM592" s="212"/>
      <c r="AN592" s="212"/>
      <c r="AO592" s="212"/>
      <c r="AP592" s="196"/>
      <c r="AQ592" s="196"/>
      <c r="AR592" s="211"/>
      <c r="AS592" s="212">
        <f t="shared" si="83"/>
        <v>-2.2356303475135063E-11</v>
      </c>
      <c r="AT592" s="212">
        <f>[1]!LIM(AT591+Mode*r0*((1+IntegrationStep/2/Ti+Td/IntegrationStep)*AS592-(1-IntegrationStep/2/Ti+2*Td/IntegrationStep)*AS591+Td/IntegrationStep*AS590))</f>
        <v>0.40307870357377057</v>
      </c>
      <c r="AU592" s="212">
        <f t="shared" si="84"/>
        <v>40.794124671602574</v>
      </c>
      <c r="AW592" s="58"/>
      <c r="AX592" s="58"/>
      <c r="AY592" s="58"/>
      <c r="AZ592" s="58"/>
    </row>
    <row r="593" spans="1:52" s="185" customFormat="1" ht="15" customHeight="1" x14ac:dyDescent="0.25">
      <c r="A593" s="200"/>
      <c r="B593" s="211"/>
      <c r="C593" s="212">
        <f t="shared" si="85"/>
        <v>58.200000000000557</v>
      </c>
      <c r="D593" s="231">
        <f>15+[1]!STEPLOAD(5)</f>
        <v>20</v>
      </c>
      <c r="E593" s="212">
        <f t="shared" si="87"/>
        <v>40.794124673748819</v>
      </c>
      <c r="F593" s="212">
        <f t="shared" si="88"/>
        <v>0.5</v>
      </c>
      <c r="G593" s="212">
        <f>5</f>
        <v>5</v>
      </c>
      <c r="H593" s="212">
        <f t="shared" si="86"/>
        <v>48.369444429475493</v>
      </c>
      <c r="I593" s="212">
        <f t="shared" si="89"/>
        <v>0.9</v>
      </c>
      <c r="J593" s="212">
        <f>1</f>
        <v>1</v>
      </c>
      <c r="K593" s="212">
        <f t="shared" si="90"/>
        <v>4.1870000000000003</v>
      </c>
      <c r="L593" s="212"/>
      <c r="M593" s="212"/>
      <c r="N593" s="212"/>
      <c r="O593" s="212"/>
      <c r="P593" s="212"/>
      <c r="Q593" s="212"/>
      <c r="R593" s="212"/>
      <c r="S593" s="212"/>
      <c r="T593" s="212"/>
      <c r="U593" s="212"/>
      <c r="V593" s="212"/>
      <c r="W593" s="212"/>
      <c r="X593" s="212"/>
      <c r="Y593" s="212"/>
      <c r="Z593" s="212"/>
      <c r="AA593" s="212"/>
      <c r="AB593" s="212"/>
      <c r="AC593" s="196"/>
      <c r="AD593" s="27"/>
      <c r="AE593" s="213"/>
      <c r="AF593" s="212">
        <f t="shared" si="91"/>
        <v>-8.5814244599191625E-10</v>
      </c>
      <c r="AG593" s="212"/>
      <c r="AH593" s="212"/>
      <c r="AI593" s="212"/>
      <c r="AJ593" s="212"/>
      <c r="AK593" s="212"/>
      <c r="AL593" s="212"/>
      <c r="AM593" s="212"/>
      <c r="AN593" s="212"/>
      <c r="AO593" s="212"/>
      <c r="AP593" s="196"/>
      <c r="AQ593" s="196"/>
      <c r="AR593" s="211"/>
      <c r="AS593" s="212">
        <f t="shared" si="83"/>
        <v>-2.1462440713548859E-11</v>
      </c>
      <c r="AT593" s="212">
        <f>[1]!LIM(AT592+Mode*r0*((1+IntegrationStep/2/Ti+Td/IntegrationStep)*AS593-(1-IntegrationStep/2/Ti+2*Td/IntegrationStep)*AS592+Td/IntegrationStep*AS591))</f>
        <v>0.40307870357896247</v>
      </c>
      <c r="AU593" s="212">
        <f t="shared" si="84"/>
        <v>40.794124671602574</v>
      </c>
      <c r="AW593" s="58"/>
      <c r="AX593" s="58"/>
      <c r="AY593" s="58"/>
      <c r="AZ593" s="58"/>
    </row>
    <row r="594" spans="1:52" s="185" customFormat="1" ht="15" customHeight="1" x14ac:dyDescent="0.25">
      <c r="A594" s="200"/>
      <c r="B594" s="211"/>
      <c r="C594" s="212">
        <f t="shared" si="85"/>
        <v>58.300000000000558</v>
      </c>
      <c r="D594" s="231">
        <f>15+[1]!STEPLOAD(5)</f>
        <v>20</v>
      </c>
      <c r="E594" s="212">
        <f t="shared" si="87"/>
        <v>40.794124673663006</v>
      </c>
      <c r="F594" s="212">
        <f t="shared" si="88"/>
        <v>0.5</v>
      </c>
      <c r="G594" s="212">
        <f>5</f>
        <v>5</v>
      </c>
      <c r="H594" s="212">
        <f t="shared" si="86"/>
        <v>48.369444430073621</v>
      </c>
      <c r="I594" s="212">
        <f t="shared" si="89"/>
        <v>0.9</v>
      </c>
      <c r="J594" s="212">
        <f>1</f>
        <v>1</v>
      </c>
      <c r="K594" s="212">
        <f t="shared" si="90"/>
        <v>4.1870000000000003</v>
      </c>
      <c r="L594" s="212"/>
      <c r="M594" s="212"/>
      <c r="N594" s="212"/>
      <c r="O594" s="212"/>
      <c r="P594" s="212"/>
      <c r="Q594" s="212"/>
      <c r="R594" s="212"/>
      <c r="S594" s="212"/>
      <c r="T594" s="212"/>
      <c r="U594" s="212"/>
      <c r="V594" s="212"/>
      <c r="W594" s="212"/>
      <c r="X594" s="212"/>
      <c r="Y594" s="212"/>
      <c r="Z594" s="212"/>
      <c r="AA594" s="212"/>
      <c r="AB594" s="212"/>
      <c r="AC594" s="196"/>
      <c r="AD594" s="27"/>
      <c r="AE594" s="213"/>
      <c r="AF594" s="212">
        <f t="shared" si="91"/>
        <v>-8.2384765676124516E-10</v>
      </c>
      <c r="AG594" s="212"/>
      <c r="AH594" s="212"/>
      <c r="AI594" s="212"/>
      <c r="AJ594" s="212"/>
      <c r="AK594" s="212"/>
      <c r="AL594" s="212"/>
      <c r="AM594" s="212"/>
      <c r="AN594" s="212"/>
      <c r="AO594" s="212"/>
      <c r="AP594" s="196"/>
      <c r="AQ594" s="196"/>
      <c r="AR594" s="211"/>
      <c r="AS594" s="212">
        <f t="shared" si="83"/>
        <v>-2.0604318251571386E-11</v>
      </c>
      <c r="AT594" s="212">
        <f>[1]!LIM(AT593+Mode*r0*((1+IntegrationStep/2/Ti+Td/IntegrationStep)*AS594-(1-IntegrationStep/2/Ti+2*Td/IntegrationStep)*AS593+Td/IntegrationStep*AS592))</f>
        <v>0.40307870358394682</v>
      </c>
      <c r="AU594" s="212">
        <f t="shared" si="84"/>
        <v>40.794124671602574</v>
      </c>
      <c r="AW594" s="58"/>
      <c r="AX594" s="58"/>
      <c r="AY594" s="58"/>
      <c r="AZ594" s="58"/>
    </row>
    <row r="595" spans="1:52" s="185" customFormat="1" ht="15" customHeight="1" x14ac:dyDescent="0.25">
      <c r="A595" s="200"/>
      <c r="B595" s="211"/>
      <c r="C595" s="212">
        <f t="shared" si="85"/>
        <v>58.40000000000056</v>
      </c>
      <c r="D595" s="231">
        <f>15+[1]!STEPLOAD(5)</f>
        <v>20</v>
      </c>
      <c r="E595" s="212">
        <f t="shared" si="87"/>
        <v>40.794124673580619</v>
      </c>
      <c r="F595" s="212">
        <f t="shared" si="88"/>
        <v>0.5</v>
      </c>
      <c r="G595" s="212">
        <f>5</f>
        <v>5</v>
      </c>
      <c r="H595" s="212">
        <f t="shared" si="86"/>
        <v>48.369444430647931</v>
      </c>
      <c r="I595" s="212">
        <f t="shared" si="89"/>
        <v>0.9</v>
      </c>
      <c r="J595" s="212">
        <f>1</f>
        <v>1</v>
      </c>
      <c r="K595" s="212">
        <f t="shared" si="90"/>
        <v>4.1870000000000003</v>
      </c>
      <c r="L595" s="212"/>
      <c r="M595" s="212"/>
      <c r="N595" s="212"/>
      <c r="O595" s="212"/>
      <c r="P595" s="212"/>
      <c r="Q595" s="212"/>
      <c r="R595" s="212"/>
      <c r="S595" s="212"/>
      <c r="T595" s="212"/>
      <c r="U595" s="212"/>
      <c r="V595" s="212"/>
      <c r="W595" s="212"/>
      <c r="X595" s="212"/>
      <c r="Y595" s="212"/>
      <c r="Z595" s="212"/>
      <c r="AA595" s="212"/>
      <c r="AB595" s="212"/>
      <c r="AC595" s="196"/>
      <c r="AD595" s="27"/>
      <c r="AE595" s="213"/>
      <c r="AF595" s="212">
        <f t="shared" si="91"/>
        <v>-7.9091933002928272E-10</v>
      </c>
      <c r="AG595" s="212"/>
      <c r="AH595" s="212"/>
      <c r="AI595" s="212"/>
      <c r="AJ595" s="212"/>
      <c r="AK595" s="212"/>
      <c r="AL595" s="212"/>
      <c r="AM595" s="212"/>
      <c r="AN595" s="212"/>
      <c r="AO595" s="212"/>
      <c r="AP595" s="196"/>
      <c r="AQ595" s="196"/>
      <c r="AR595" s="211"/>
      <c r="AS595" s="212">
        <f t="shared" si="83"/>
        <v>-1.9780443949457548E-11</v>
      </c>
      <c r="AT595" s="212">
        <f>[1]!LIM(AT594+Mode*r0*((1+IntegrationStep/2/Ti+Td/IntegrationStep)*AS595-(1-IntegrationStep/2/Ti+2*Td/IntegrationStep)*AS594+Td/IntegrationStep*AS593))</f>
        <v>0.40307870358873277</v>
      </c>
      <c r="AU595" s="212">
        <f t="shared" si="84"/>
        <v>40.794124671602574</v>
      </c>
      <c r="AW595" s="58"/>
      <c r="AX595" s="58"/>
      <c r="AY595" s="58"/>
      <c r="AZ595" s="58"/>
    </row>
    <row r="596" spans="1:52" s="185" customFormat="1" ht="15" customHeight="1" x14ac:dyDescent="0.25">
      <c r="A596" s="200"/>
      <c r="B596" s="211"/>
      <c r="C596" s="212">
        <f t="shared" si="85"/>
        <v>58.500000000000561</v>
      </c>
      <c r="D596" s="231">
        <f>15+[1]!STEPLOAD(5)</f>
        <v>20</v>
      </c>
      <c r="E596" s="212">
        <f t="shared" si="87"/>
        <v>40.794124673501528</v>
      </c>
      <c r="F596" s="212">
        <f t="shared" si="88"/>
        <v>0.5</v>
      </c>
      <c r="G596" s="212">
        <f>5</f>
        <v>5</v>
      </c>
      <c r="H596" s="212">
        <f t="shared" si="86"/>
        <v>48.369444431199241</v>
      </c>
      <c r="I596" s="212">
        <f t="shared" si="89"/>
        <v>0.9</v>
      </c>
      <c r="J596" s="212">
        <f>1</f>
        <v>1</v>
      </c>
      <c r="K596" s="212">
        <f t="shared" si="90"/>
        <v>4.1870000000000003</v>
      </c>
      <c r="L596" s="212"/>
      <c r="M596" s="212"/>
      <c r="N596" s="212"/>
      <c r="O596" s="212"/>
      <c r="P596" s="212"/>
      <c r="Q596" s="212"/>
      <c r="R596" s="212"/>
      <c r="S596" s="212"/>
      <c r="T596" s="212"/>
      <c r="U596" s="212"/>
      <c r="V596" s="212"/>
      <c r="W596" s="212"/>
      <c r="X596" s="212"/>
      <c r="Y596" s="212"/>
      <c r="Z596" s="212"/>
      <c r="AA596" s="212"/>
      <c r="AB596" s="212"/>
      <c r="AC596" s="196"/>
      <c r="AD596" s="27"/>
      <c r="AE596" s="213"/>
      <c r="AF596" s="212">
        <f t="shared" si="91"/>
        <v>-7.5930906007215526E-10</v>
      </c>
      <c r="AG596" s="212"/>
      <c r="AH596" s="212"/>
      <c r="AI596" s="212"/>
      <c r="AJ596" s="212"/>
      <c r="AK596" s="212"/>
      <c r="AL596" s="212"/>
      <c r="AM596" s="212"/>
      <c r="AN596" s="212"/>
      <c r="AO596" s="212"/>
      <c r="AP596" s="196"/>
      <c r="AQ596" s="196"/>
      <c r="AR596" s="211"/>
      <c r="AS596" s="212">
        <f t="shared" si="83"/>
        <v>-1.8989538830282981E-11</v>
      </c>
      <c r="AT596" s="212">
        <f>[1]!LIM(AT595+Mode*r0*((1+IntegrationStep/2/Ti+Td/IntegrationStep)*AS596-(1-IntegrationStep/2/Ti+2*Td/IntegrationStep)*AS595+Td/IntegrationStep*AS594))</f>
        <v>0.40307870359332698</v>
      </c>
      <c r="AU596" s="212">
        <f t="shared" si="84"/>
        <v>40.794124671602574</v>
      </c>
      <c r="AW596" s="58"/>
      <c r="AX596" s="58"/>
      <c r="AY596" s="58"/>
      <c r="AZ596" s="58"/>
    </row>
    <row r="597" spans="1:52" s="185" customFormat="1" ht="15" customHeight="1" x14ac:dyDescent="0.25">
      <c r="A597" s="200"/>
      <c r="B597" s="211"/>
      <c r="C597" s="212">
        <f t="shared" si="85"/>
        <v>58.600000000000563</v>
      </c>
      <c r="D597" s="231">
        <f>15+[1]!STEPLOAD(5)</f>
        <v>20</v>
      </c>
      <c r="E597" s="212">
        <f t="shared" si="87"/>
        <v>40.7941246734256</v>
      </c>
      <c r="F597" s="212">
        <f t="shared" si="88"/>
        <v>0.5</v>
      </c>
      <c r="G597" s="212">
        <f>5</f>
        <v>5</v>
      </c>
      <c r="H597" s="212">
        <f t="shared" si="86"/>
        <v>48.36944443172851</v>
      </c>
      <c r="I597" s="212">
        <f t="shared" si="89"/>
        <v>0.9</v>
      </c>
      <c r="J597" s="212">
        <f>1</f>
        <v>1</v>
      </c>
      <c r="K597" s="212">
        <f t="shared" si="90"/>
        <v>4.1870000000000003</v>
      </c>
      <c r="L597" s="212"/>
      <c r="M597" s="212"/>
      <c r="N597" s="212"/>
      <c r="O597" s="212"/>
      <c r="P597" s="212"/>
      <c r="Q597" s="212"/>
      <c r="R597" s="212"/>
      <c r="S597" s="212"/>
      <c r="T597" s="212"/>
      <c r="U597" s="212"/>
      <c r="V597" s="212"/>
      <c r="W597" s="212"/>
      <c r="X597" s="212"/>
      <c r="Y597" s="212"/>
      <c r="Z597" s="212"/>
      <c r="AA597" s="212"/>
      <c r="AB597" s="212"/>
      <c r="AC597" s="196"/>
      <c r="AD597" s="27"/>
      <c r="AE597" s="213"/>
      <c r="AF597" s="212">
        <f t="shared" si="91"/>
        <v>-7.2896311209547093E-10</v>
      </c>
      <c r="AG597" s="212"/>
      <c r="AH597" s="212"/>
      <c r="AI597" s="212"/>
      <c r="AJ597" s="212"/>
      <c r="AK597" s="212"/>
      <c r="AL597" s="212"/>
      <c r="AM597" s="212"/>
      <c r="AN597" s="212"/>
      <c r="AO597" s="212"/>
      <c r="AP597" s="196"/>
      <c r="AQ597" s="196"/>
      <c r="AR597" s="211"/>
      <c r="AS597" s="212">
        <f t="shared" si="83"/>
        <v>-1.8230252862849737E-11</v>
      </c>
      <c r="AT597" s="212">
        <f>[1]!LIM(AT596+Mode*r0*((1+IntegrationStep/2/Ti+Td/IntegrationStep)*AS597-(1-IntegrationStep/2/Ti+2*Td/IntegrationStep)*AS596+Td/IntegrationStep*AS595))</f>
        <v>0.40307870359773756</v>
      </c>
      <c r="AU597" s="212">
        <f t="shared" si="84"/>
        <v>40.794124671602574</v>
      </c>
      <c r="AW597" s="58"/>
      <c r="AX597" s="58"/>
      <c r="AY597" s="58"/>
      <c r="AZ597" s="58"/>
    </row>
    <row r="598" spans="1:52" s="185" customFormat="1" ht="15" customHeight="1" x14ac:dyDescent="0.25">
      <c r="A598" s="200"/>
      <c r="B598" s="211"/>
      <c r="C598" s="212">
        <f t="shared" si="85"/>
        <v>58.700000000000564</v>
      </c>
      <c r="D598" s="231">
        <f>15+[1]!STEPLOAD(5)</f>
        <v>20</v>
      </c>
      <c r="E598" s="212">
        <f t="shared" si="87"/>
        <v>40.794124673352705</v>
      </c>
      <c r="F598" s="212">
        <f t="shared" si="88"/>
        <v>0.5</v>
      </c>
      <c r="G598" s="212">
        <f>5</f>
        <v>5</v>
      </c>
      <c r="H598" s="212">
        <f t="shared" si="86"/>
        <v>48.369444432236648</v>
      </c>
      <c r="I598" s="212">
        <f t="shared" si="89"/>
        <v>0.9</v>
      </c>
      <c r="J598" s="212">
        <f>1</f>
        <v>1</v>
      </c>
      <c r="K598" s="212">
        <f t="shared" si="90"/>
        <v>4.1870000000000003</v>
      </c>
      <c r="L598" s="212"/>
      <c r="M598" s="212"/>
      <c r="N598" s="212"/>
      <c r="O598" s="212"/>
      <c r="P598" s="212"/>
      <c r="Q598" s="212"/>
      <c r="R598" s="212"/>
      <c r="S598" s="212"/>
      <c r="T598" s="212"/>
      <c r="U598" s="212"/>
      <c r="V598" s="212"/>
      <c r="W598" s="212"/>
      <c r="X598" s="212"/>
      <c r="Y598" s="212"/>
      <c r="Z598" s="212"/>
      <c r="AA598" s="212"/>
      <c r="AB598" s="212"/>
      <c r="AC598" s="196"/>
      <c r="AD598" s="27"/>
      <c r="AE598" s="213"/>
      <c r="AF598" s="212">
        <f t="shared" si="91"/>
        <v>-6.9982819539404773E-10</v>
      </c>
      <c r="AG598" s="212"/>
      <c r="AH598" s="212"/>
      <c r="AI598" s="212"/>
      <c r="AJ598" s="212"/>
      <c r="AK598" s="212"/>
      <c r="AL598" s="212"/>
      <c r="AM598" s="212"/>
      <c r="AN598" s="212"/>
      <c r="AO598" s="212"/>
      <c r="AP598" s="196"/>
      <c r="AQ598" s="196"/>
      <c r="AR598" s="211"/>
      <c r="AS598" s="212">
        <f t="shared" si="83"/>
        <v>-1.7501307070233453E-11</v>
      </c>
      <c r="AT598" s="212">
        <f>[1]!LIM(AT597+Mode*r0*((1+IntegrationStep/2/Ti+Td/IntegrationStep)*AS598-(1-IntegrationStep/2/Ti+2*Td/IntegrationStep)*AS597+Td/IntegrationStep*AS596))</f>
        <v>0.40307870360197207</v>
      </c>
      <c r="AU598" s="212">
        <f t="shared" si="84"/>
        <v>40.794124671602574</v>
      </c>
      <c r="AW598" s="58"/>
      <c r="AX598" s="58"/>
      <c r="AY598" s="58"/>
      <c r="AZ598" s="58"/>
    </row>
    <row r="599" spans="1:52" s="185" customFormat="1" ht="15" customHeight="1" x14ac:dyDescent="0.25">
      <c r="A599" s="200"/>
      <c r="B599" s="211"/>
      <c r="C599" s="212">
        <f t="shared" si="85"/>
        <v>58.800000000000566</v>
      </c>
      <c r="D599" s="231">
        <f>15+[1]!STEPLOAD(5)</f>
        <v>20</v>
      </c>
      <c r="E599" s="212">
        <f t="shared" si="87"/>
        <v>40.794124673282724</v>
      </c>
      <c r="F599" s="212">
        <f t="shared" si="88"/>
        <v>0.5</v>
      </c>
      <c r="G599" s="212">
        <f>5</f>
        <v>5</v>
      </c>
      <c r="H599" s="212">
        <f t="shared" si="86"/>
        <v>48.369444432724499</v>
      </c>
      <c r="I599" s="212">
        <f t="shared" si="89"/>
        <v>0.9</v>
      </c>
      <c r="J599" s="212">
        <f>1</f>
        <v>1</v>
      </c>
      <c r="K599" s="212">
        <f t="shared" si="90"/>
        <v>4.1870000000000003</v>
      </c>
      <c r="L599" s="212"/>
      <c r="M599" s="212"/>
      <c r="N599" s="212"/>
      <c r="O599" s="212"/>
      <c r="P599" s="212"/>
      <c r="Q599" s="212"/>
      <c r="R599" s="212"/>
      <c r="S599" s="212"/>
      <c r="T599" s="212"/>
      <c r="U599" s="212"/>
      <c r="V599" s="212"/>
      <c r="W599" s="212"/>
      <c r="X599" s="212"/>
      <c r="Y599" s="212"/>
      <c r="Z599" s="212"/>
      <c r="AA599" s="212"/>
      <c r="AB599" s="212"/>
      <c r="AC599" s="196"/>
      <c r="AD599" s="27"/>
      <c r="AE599" s="213"/>
      <c r="AF599" s="212">
        <f t="shared" si="91"/>
        <v>-6.7185768060085138E-10</v>
      </c>
      <c r="AG599" s="212"/>
      <c r="AH599" s="212"/>
      <c r="AI599" s="212"/>
      <c r="AJ599" s="212"/>
      <c r="AK599" s="212"/>
      <c r="AL599" s="212"/>
      <c r="AM599" s="212"/>
      <c r="AN599" s="212"/>
      <c r="AO599" s="212"/>
      <c r="AP599" s="196"/>
      <c r="AQ599" s="196"/>
      <c r="AR599" s="211"/>
      <c r="AS599" s="212">
        <f t="shared" si="83"/>
        <v>-1.6801493529783328E-11</v>
      </c>
      <c r="AT599" s="212">
        <f>[1]!LIM(AT598+Mode*r0*((1+IntegrationStep/2/Ti+Td/IntegrationStep)*AS599-(1-IntegrationStep/2/Ti+2*Td/IntegrationStep)*AS598+Td/IntegrationStep*AS597))</f>
        <v>0.40307870360603748</v>
      </c>
      <c r="AU599" s="212">
        <f t="shared" si="84"/>
        <v>40.794124671602574</v>
      </c>
      <c r="AW599" s="58"/>
      <c r="AX599" s="58"/>
      <c r="AY599" s="58"/>
      <c r="AZ599" s="58"/>
    </row>
    <row r="600" spans="1:52" s="185" customFormat="1" ht="15" customHeight="1" x14ac:dyDescent="0.25">
      <c r="A600" s="200"/>
      <c r="B600" s="211"/>
      <c r="C600" s="212">
        <f t="shared" si="85"/>
        <v>58.900000000000567</v>
      </c>
      <c r="D600" s="231">
        <f>15+[1]!STEPLOAD(5)</f>
        <v>20</v>
      </c>
      <c r="E600" s="212">
        <f t="shared" si="87"/>
        <v>40.794124673215535</v>
      </c>
      <c r="F600" s="212">
        <f t="shared" si="88"/>
        <v>0.5</v>
      </c>
      <c r="G600" s="212">
        <f>5</f>
        <v>5</v>
      </c>
      <c r="H600" s="212">
        <f t="shared" si="86"/>
        <v>48.369444433192953</v>
      </c>
      <c r="I600" s="212">
        <f t="shared" si="89"/>
        <v>0.9</v>
      </c>
      <c r="J600" s="212">
        <f>1</f>
        <v>1</v>
      </c>
      <c r="K600" s="212">
        <f t="shared" si="90"/>
        <v>4.1870000000000003</v>
      </c>
      <c r="L600" s="212"/>
      <c r="M600" s="212"/>
      <c r="N600" s="212"/>
      <c r="O600" s="212"/>
      <c r="P600" s="212"/>
      <c r="Q600" s="212"/>
      <c r="R600" s="212"/>
      <c r="S600" s="212"/>
      <c r="T600" s="212"/>
      <c r="U600" s="212"/>
      <c r="V600" s="212"/>
      <c r="W600" s="212"/>
      <c r="X600" s="212"/>
      <c r="Y600" s="212"/>
      <c r="Z600" s="212"/>
      <c r="AA600" s="212"/>
      <c r="AB600" s="212"/>
      <c r="AC600" s="196"/>
      <c r="AD600" s="27"/>
      <c r="AE600" s="213"/>
      <c r="AF600" s="212">
        <f t="shared" si="91"/>
        <v>-6.4499960927832944E-10</v>
      </c>
      <c r="AG600" s="212"/>
      <c r="AH600" s="212"/>
      <c r="AI600" s="212"/>
      <c r="AJ600" s="212"/>
      <c r="AK600" s="212"/>
      <c r="AL600" s="212"/>
      <c r="AM600" s="212"/>
      <c r="AN600" s="212"/>
      <c r="AO600" s="212"/>
      <c r="AP600" s="196"/>
      <c r="AQ600" s="196"/>
      <c r="AR600" s="211"/>
      <c r="AS600" s="212">
        <f t="shared" si="83"/>
        <v>-1.6129604318848578E-11</v>
      </c>
      <c r="AT600" s="212">
        <f>[1]!LIM(AT599+Mode*r0*((1+IntegrationStep/2/Ti+Td/IntegrationStep)*AS600-(1-IntegrationStep/2/Ti+2*Td/IntegrationStep)*AS599+Td/IntegrationStep*AS598))</f>
        <v>0.40307870360994125</v>
      </c>
      <c r="AU600" s="212">
        <f t="shared" si="84"/>
        <v>40.794124671602574</v>
      </c>
      <c r="AW600" s="58"/>
      <c r="AX600" s="58"/>
      <c r="AY600" s="58"/>
      <c r="AZ600" s="58"/>
    </row>
    <row r="601" spans="1:52" s="185" customFormat="1" ht="15" customHeight="1" x14ac:dyDescent="0.25">
      <c r="A601" s="200"/>
      <c r="B601" s="211"/>
      <c r="C601" s="212">
        <f t="shared" si="85"/>
        <v>59.000000000000568</v>
      </c>
      <c r="D601" s="231">
        <f>15+[1]!STEPLOAD(5)</f>
        <v>20</v>
      </c>
      <c r="E601" s="212">
        <f t="shared" si="87"/>
        <v>40.794124673151032</v>
      </c>
      <c r="F601" s="212">
        <f t="shared" si="88"/>
        <v>0.5</v>
      </c>
      <c r="G601" s="212">
        <f>5</f>
        <v>5</v>
      </c>
      <c r="H601" s="212">
        <f t="shared" si="86"/>
        <v>48.369444433642684</v>
      </c>
      <c r="I601" s="212">
        <f t="shared" si="89"/>
        <v>0.9</v>
      </c>
      <c r="J601" s="212">
        <f>1</f>
        <v>1</v>
      </c>
      <c r="K601" s="212">
        <f t="shared" si="90"/>
        <v>4.1870000000000003</v>
      </c>
      <c r="L601" s="212"/>
      <c r="M601" s="212"/>
      <c r="N601" s="212"/>
      <c r="O601" s="212"/>
      <c r="P601" s="212"/>
      <c r="Q601" s="212"/>
      <c r="R601" s="212"/>
      <c r="S601" s="212"/>
      <c r="T601" s="212"/>
      <c r="U601" s="212"/>
      <c r="V601" s="212"/>
      <c r="W601" s="212"/>
      <c r="X601" s="212"/>
      <c r="Y601" s="212"/>
      <c r="Z601" s="212"/>
      <c r="AA601" s="212"/>
      <c r="AB601" s="212"/>
      <c r="AC601" s="196"/>
      <c r="AD601" s="27"/>
      <c r="AE601" s="213"/>
      <c r="AF601" s="212">
        <f t="shared" si="91"/>
        <v>-6.1921534566522496E-10</v>
      </c>
      <c r="AG601" s="212"/>
      <c r="AH601" s="212"/>
      <c r="AI601" s="212"/>
      <c r="AJ601" s="212"/>
      <c r="AK601" s="212"/>
      <c r="AL601" s="212"/>
      <c r="AM601" s="212"/>
      <c r="AN601" s="212"/>
      <c r="AO601" s="212"/>
      <c r="AP601" s="196"/>
      <c r="AQ601" s="196"/>
      <c r="AR601" s="211"/>
      <c r="AS601" s="212">
        <f t="shared" si="83"/>
        <v>-1.5484573623325561E-11</v>
      </c>
      <c r="AT601" s="212">
        <f>[1]!LIM(AT600+Mode*r0*((1+IntegrationStep/2/Ti+Td/IntegrationStep)*AS601-(1-IntegrationStep/2/Ti+2*Td/IntegrationStep)*AS600+Td/IntegrationStep*AS599))</f>
        <v>0.40307870361368903</v>
      </c>
      <c r="AU601" s="212">
        <f t="shared" si="84"/>
        <v>40.794124671602574</v>
      </c>
      <c r="AW601" s="58"/>
      <c r="AX601" s="58"/>
      <c r="AY601" s="58"/>
      <c r="AZ601" s="58"/>
    </row>
    <row r="602" spans="1:52" s="185" customFormat="1" ht="15" customHeight="1" x14ac:dyDescent="0.25">
      <c r="A602" s="200"/>
      <c r="B602" s="211"/>
      <c r="C602" s="212">
        <f t="shared" si="85"/>
        <v>59.10000000000057</v>
      </c>
      <c r="D602" s="231">
        <f>15+[1]!STEPLOAD(5)</f>
        <v>20</v>
      </c>
      <c r="E602" s="212">
        <f t="shared" si="87"/>
        <v>40.794124673089108</v>
      </c>
      <c r="F602" s="212">
        <f t="shared" si="88"/>
        <v>0.5</v>
      </c>
      <c r="G602" s="212">
        <f>5</f>
        <v>5</v>
      </c>
      <c r="H602" s="212">
        <f t="shared" si="86"/>
        <v>48.369444434074438</v>
      </c>
      <c r="I602" s="212">
        <f t="shared" si="89"/>
        <v>0.9</v>
      </c>
      <c r="J602" s="212">
        <f>1</f>
        <v>1</v>
      </c>
      <c r="K602" s="212">
        <f t="shared" si="90"/>
        <v>4.1870000000000003</v>
      </c>
      <c r="L602" s="212"/>
      <c r="M602" s="212"/>
      <c r="N602" s="212"/>
      <c r="O602" s="212"/>
      <c r="P602" s="212"/>
      <c r="Q602" s="212"/>
      <c r="R602" s="212"/>
      <c r="S602" s="212"/>
      <c r="T602" s="212"/>
      <c r="U602" s="212"/>
      <c r="V602" s="212"/>
      <c r="W602" s="212"/>
      <c r="X602" s="212"/>
      <c r="Y602" s="212"/>
      <c r="Z602" s="212"/>
      <c r="AA602" s="212"/>
      <c r="AB602" s="212"/>
      <c r="AC602" s="196"/>
      <c r="AD602" s="27"/>
      <c r="AE602" s="213"/>
      <c r="AF602" s="212">
        <f t="shared" si="91"/>
        <v>-5.9446181310818247E-10</v>
      </c>
      <c r="AG602" s="212"/>
      <c r="AH602" s="212"/>
      <c r="AI602" s="212"/>
      <c r="AJ602" s="212"/>
      <c r="AK602" s="212"/>
      <c r="AL602" s="212"/>
      <c r="AM602" s="212"/>
      <c r="AN602" s="212"/>
      <c r="AO602" s="212"/>
      <c r="AP602" s="196"/>
      <c r="AQ602" s="196"/>
      <c r="AR602" s="211"/>
      <c r="AS602" s="212">
        <f t="shared" si="83"/>
        <v>-1.4865335629110633E-11</v>
      </c>
      <c r="AT602" s="212">
        <f>[1]!LIM(AT601+Mode*r0*((1+IntegrationStep/2/Ti+Td/IntegrationStep)*AS602-(1-IntegrationStep/2/Ti+2*Td/IntegrationStep)*AS601+Td/IntegrationStep*AS600))</f>
        <v>0.40307870361728698</v>
      </c>
      <c r="AU602" s="212">
        <f t="shared" si="84"/>
        <v>40.794124671602574</v>
      </c>
      <c r="AW602" s="58"/>
      <c r="AX602" s="58"/>
      <c r="AY602" s="58"/>
      <c r="AZ602" s="58"/>
    </row>
    <row r="603" spans="1:52" s="185" customFormat="1" ht="15" customHeight="1" x14ac:dyDescent="0.25">
      <c r="A603" s="200"/>
      <c r="B603" s="211"/>
      <c r="C603" s="212">
        <f t="shared" si="85"/>
        <v>59.200000000000571</v>
      </c>
      <c r="D603" s="231">
        <f>15+[1]!STEPLOAD(5)</f>
        <v>20</v>
      </c>
      <c r="E603" s="212">
        <f t="shared" si="87"/>
        <v>40.794124673029664</v>
      </c>
      <c r="F603" s="212">
        <f t="shared" si="88"/>
        <v>0.5</v>
      </c>
      <c r="G603" s="212">
        <f>5</f>
        <v>5</v>
      </c>
      <c r="H603" s="212">
        <f t="shared" si="86"/>
        <v>48.369444434488869</v>
      </c>
      <c r="I603" s="212">
        <f t="shared" si="89"/>
        <v>0.9</v>
      </c>
      <c r="J603" s="212">
        <f>1</f>
        <v>1</v>
      </c>
      <c r="K603" s="212">
        <f t="shared" si="90"/>
        <v>4.1870000000000003</v>
      </c>
      <c r="L603" s="212"/>
      <c r="M603" s="212"/>
      <c r="N603" s="212"/>
      <c r="O603" s="212"/>
      <c r="P603" s="212"/>
      <c r="Q603" s="212"/>
      <c r="R603" s="212"/>
      <c r="S603" s="212"/>
      <c r="T603" s="212"/>
      <c r="U603" s="212"/>
      <c r="V603" s="212"/>
      <c r="W603" s="212"/>
      <c r="X603" s="212"/>
      <c r="Y603" s="212"/>
      <c r="Z603" s="212"/>
      <c r="AA603" s="212"/>
      <c r="AB603" s="212"/>
      <c r="AC603" s="196"/>
      <c r="AD603" s="27"/>
      <c r="AE603" s="213"/>
      <c r="AF603" s="212">
        <f t="shared" si="91"/>
        <v>-5.7070081993515487E-10</v>
      </c>
      <c r="AG603" s="212"/>
      <c r="AH603" s="212"/>
      <c r="AI603" s="212"/>
      <c r="AJ603" s="212"/>
      <c r="AK603" s="212"/>
      <c r="AL603" s="212"/>
      <c r="AM603" s="212"/>
      <c r="AN603" s="212"/>
      <c r="AO603" s="212"/>
      <c r="AP603" s="196"/>
      <c r="AQ603" s="196"/>
      <c r="AR603" s="211"/>
      <c r="AS603" s="212">
        <f t="shared" si="83"/>
        <v>-1.4270895576373733E-11</v>
      </c>
      <c r="AT603" s="212">
        <f>[1]!LIM(AT602+Mode*r0*((1+IntegrationStep/2/Ti+Td/IntegrationStep)*AS603-(1-IntegrationStep/2/Ti+2*Td/IntegrationStep)*AS602+Td/IntegrationStep*AS601))</f>
        <v>0.40307870362074055</v>
      </c>
      <c r="AU603" s="212">
        <f t="shared" si="84"/>
        <v>40.794124671602574</v>
      </c>
      <c r="AW603" s="58"/>
      <c r="AX603" s="58"/>
      <c r="AY603" s="58"/>
      <c r="AZ603" s="58"/>
    </row>
    <row r="604" spans="1:52" s="185" customFormat="1" ht="15" customHeight="1" x14ac:dyDescent="0.25">
      <c r="A604" s="200"/>
      <c r="B604" s="211"/>
      <c r="C604" s="212">
        <f t="shared" si="85"/>
        <v>59.300000000000573</v>
      </c>
      <c r="D604" s="231">
        <f>15+[1]!STEPLOAD(5)</f>
        <v>20</v>
      </c>
      <c r="E604" s="212">
        <f t="shared" si="87"/>
        <v>40.794124672972593</v>
      </c>
      <c r="F604" s="212">
        <f t="shared" si="88"/>
        <v>0.5</v>
      </c>
      <c r="G604" s="212">
        <f>5</f>
        <v>5</v>
      </c>
      <c r="H604" s="212">
        <f t="shared" si="86"/>
        <v>48.369444434886788</v>
      </c>
      <c r="I604" s="212">
        <f t="shared" si="89"/>
        <v>0.9</v>
      </c>
      <c r="J604" s="212">
        <f>1</f>
        <v>1</v>
      </c>
      <c r="K604" s="212">
        <f t="shared" si="90"/>
        <v>4.1870000000000003</v>
      </c>
      <c r="L604" s="212"/>
      <c r="M604" s="212"/>
      <c r="N604" s="212"/>
      <c r="O604" s="212"/>
      <c r="P604" s="212"/>
      <c r="Q604" s="212"/>
      <c r="R604" s="212"/>
      <c r="S604" s="212"/>
      <c r="T604" s="212"/>
      <c r="U604" s="212"/>
      <c r="V604" s="212"/>
      <c r="W604" s="212"/>
      <c r="X604" s="212"/>
      <c r="Y604" s="212"/>
      <c r="Z604" s="212"/>
      <c r="AA604" s="212"/>
      <c r="AB604" s="212"/>
      <c r="AC604" s="196"/>
      <c r="AD604" s="27"/>
      <c r="AE604" s="213"/>
      <c r="AF604" s="212">
        <f t="shared" si="91"/>
        <v>-5.478875131359473E-10</v>
      </c>
      <c r="AG604" s="212"/>
      <c r="AH604" s="212"/>
      <c r="AI604" s="212"/>
      <c r="AJ604" s="212"/>
      <c r="AK604" s="212"/>
      <c r="AL604" s="212"/>
      <c r="AM604" s="212"/>
      <c r="AN604" s="212"/>
      <c r="AO604" s="212"/>
      <c r="AP604" s="196"/>
      <c r="AQ604" s="196"/>
      <c r="AR604" s="211"/>
      <c r="AS604" s="212">
        <f t="shared" si="83"/>
        <v>-1.370018765101122E-11</v>
      </c>
      <c r="AT604" s="212">
        <f>[1]!LIM(AT603+Mode*r0*((1+IntegrationStep/2/Ti+Td/IntegrationStep)*AS604-(1-IntegrationStep/2/Ti+2*Td/IntegrationStep)*AS603+Td/IntegrationStep*AS602))</f>
        <v>0.40307870362405657</v>
      </c>
      <c r="AU604" s="212">
        <f t="shared" si="84"/>
        <v>40.794124671602574</v>
      </c>
      <c r="AW604" s="58"/>
      <c r="AX604" s="58"/>
      <c r="AY604" s="58"/>
      <c r="AZ604" s="58"/>
    </row>
    <row r="605" spans="1:52" s="185" customFormat="1" ht="15" customHeight="1" x14ac:dyDescent="0.25">
      <c r="A605" s="200"/>
      <c r="B605" s="211"/>
      <c r="C605" s="212">
        <f t="shared" si="85"/>
        <v>59.400000000000574</v>
      </c>
      <c r="D605" s="231">
        <f>15+[1]!STEPLOAD(5)</f>
        <v>20</v>
      </c>
      <c r="E605" s="212">
        <f t="shared" si="87"/>
        <v>40.794124672917803</v>
      </c>
      <c r="F605" s="212">
        <f t="shared" si="88"/>
        <v>0.5</v>
      </c>
      <c r="G605" s="212">
        <f>5</f>
        <v>5</v>
      </c>
      <c r="H605" s="212">
        <f t="shared" si="86"/>
        <v>48.369444435268832</v>
      </c>
      <c r="I605" s="212">
        <f t="shared" si="89"/>
        <v>0.9</v>
      </c>
      <c r="J605" s="212">
        <f>1</f>
        <v>1</v>
      </c>
      <c r="K605" s="212">
        <f t="shared" si="90"/>
        <v>4.1870000000000003</v>
      </c>
      <c r="L605" s="212"/>
      <c r="M605" s="212"/>
      <c r="N605" s="212"/>
      <c r="O605" s="212"/>
      <c r="P605" s="212"/>
      <c r="Q605" s="212"/>
      <c r="R605" s="212"/>
      <c r="S605" s="212"/>
      <c r="T605" s="212"/>
      <c r="U605" s="212"/>
      <c r="V605" s="212"/>
      <c r="W605" s="212"/>
      <c r="X605" s="212"/>
      <c r="Y605" s="212"/>
      <c r="Z605" s="212"/>
      <c r="AA605" s="212"/>
      <c r="AB605" s="212"/>
      <c r="AC605" s="196"/>
      <c r="AD605" s="27"/>
      <c r="AE605" s="213"/>
      <c r="AF605" s="212">
        <f t="shared" si="91"/>
        <v>-5.2598414512772251E-10</v>
      </c>
      <c r="AG605" s="212"/>
      <c r="AH605" s="212"/>
      <c r="AI605" s="212"/>
      <c r="AJ605" s="212"/>
      <c r="AK605" s="212"/>
      <c r="AL605" s="212"/>
      <c r="AM605" s="212"/>
      <c r="AN605" s="212"/>
      <c r="AO605" s="212"/>
      <c r="AP605" s="196"/>
      <c r="AQ605" s="196"/>
      <c r="AR605" s="211"/>
      <c r="AS605" s="212">
        <f t="shared" si="83"/>
        <v>-1.3152288147466606E-11</v>
      </c>
      <c r="AT605" s="212">
        <f>[1]!LIM(AT604+Mode*r0*((1+IntegrationStep/2/Ti+Td/IntegrationStep)*AS605-(1-IntegrationStep/2/Ti+2*Td/IntegrationStep)*AS604+Td/IntegrationStep*AS603))</f>
        <v>0.40307870362724024</v>
      </c>
      <c r="AU605" s="212">
        <f t="shared" si="84"/>
        <v>40.794124671602574</v>
      </c>
      <c r="AW605" s="58"/>
      <c r="AX605" s="58"/>
      <c r="AY605" s="58"/>
      <c r="AZ605" s="58"/>
    </row>
    <row r="606" spans="1:52" s="185" customFormat="1" ht="15" customHeight="1" x14ac:dyDescent="0.25">
      <c r="A606" s="200"/>
      <c r="B606" s="211"/>
      <c r="C606" s="212">
        <f t="shared" si="85"/>
        <v>59.500000000000576</v>
      </c>
      <c r="D606" s="231">
        <f>15+[1]!STEPLOAD(5)</f>
        <v>20</v>
      </c>
      <c r="E606" s="212">
        <f t="shared" si="87"/>
        <v>40.794124672865202</v>
      </c>
      <c r="F606" s="212">
        <f t="shared" si="88"/>
        <v>0.5</v>
      </c>
      <c r="G606" s="212">
        <f>5</f>
        <v>5</v>
      </c>
      <c r="H606" s="212">
        <f t="shared" si="86"/>
        <v>48.369444435635636</v>
      </c>
      <c r="I606" s="212">
        <f t="shared" si="89"/>
        <v>0.9</v>
      </c>
      <c r="J606" s="212">
        <f>1</f>
        <v>1</v>
      </c>
      <c r="K606" s="212">
        <f t="shared" si="90"/>
        <v>4.1870000000000003</v>
      </c>
      <c r="L606" s="212"/>
      <c r="M606" s="212"/>
      <c r="N606" s="212"/>
      <c r="O606" s="212"/>
      <c r="P606" s="212"/>
      <c r="Q606" s="212"/>
      <c r="R606" s="212"/>
      <c r="S606" s="212"/>
      <c r="T606" s="212"/>
      <c r="U606" s="212"/>
      <c r="V606" s="212"/>
      <c r="W606" s="212"/>
      <c r="X606" s="212"/>
      <c r="Y606" s="212"/>
      <c r="Z606" s="212"/>
      <c r="AA606" s="212"/>
      <c r="AB606" s="212"/>
      <c r="AC606" s="196"/>
      <c r="AD606" s="27"/>
      <c r="AE606" s="213"/>
      <c r="AF606" s="212">
        <f t="shared" si="91"/>
        <v>-5.0495474468448265E-10</v>
      </c>
      <c r="AG606" s="212"/>
      <c r="AH606" s="212"/>
      <c r="AI606" s="212"/>
      <c r="AJ606" s="212"/>
      <c r="AK606" s="212"/>
      <c r="AL606" s="212"/>
      <c r="AM606" s="212"/>
      <c r="AN606" s="212"/>
      <c r="AO606" s="212"/>
      <c r="AP606" s="196"/>
      <c r="AQ606" s="196"/>
      <c r="AR606" s="211"/>
      <c r="AS606" s="212">
        <f t="shared" si="83"/>
        <v>-1.2626273360183404E-11</v>
      </c>
      <c r="AT606" s="212">
        <f>[1]!LIM(AT605+Mode*r0*((1+IntegrationStep/2/Ti+Td/IntegrationStep)*AS606-(1-IntegrationStep/2/Ti+2*Td/IntegrationStep)*AS605+Td/IntegrationStep*AS604))</f>
        <v>0.40307870363029696</v>
      </c>
      <c r="AU606" s="212">
        <f t="shared" si="84"/>
        <v>40.794124671602574</v>
      </c>
      <c r="AW606" s="58"/>
      <c r="AX606" s="58"/>
      <c r="AY606" s="58"/>
      <c r="AZ606" s="58"/>
    </row>
    <row r="607" spans="1:52" s="185" customFormat="1" ht="15" customHeight="1" x14ac:dyDescent="0.25">
      <c r="A607" s="200"/>
      <c r="B607" s="211"/>
      <c r="C607" s="212">
        <f t="shared" si="85"/>
        <v>59.600000000000577</v>
      </c>
      <c r="D607" s="231">
        <f>15+[1]!STEPLOAD(5)</f>
        <v>20</v>
      </c>
      <c r="E607" s="212">
        <f t="shared" si="87"/>
        <v>40.794124672814704</v>
      </c>
      <c r="F607" s="212">
        <f t="shared" si="88"/>
        <v>0.5</v>
      </c>
      <c r="G607" s="212">
        <f>5</f>
        <v>5</v>
      </c>
      <c r="H607" s="212">
        <f t="shared" si="86"/>
        <v>48.369444435987788</v>
      </c>
      <c r="I607" s="212">
        <f t="shared" si="89"/>
        <v>0.9</v>
      </c>
      <c r="J607" s="212">
        <f>1</f>
        <v>1</v>
      </c>
      <c r="K607" s="212">
        <f t="shared" si="90"/>
        <v>4.1870000000000003</v>
      </c>
      <c r="L607" s="212"/>
      <c r="M607" s="212"/>
      <c r="N607" s="212"/>
      <c r="O607" s="212"/>
      <c r="P607" s="212"/>
      <c r="Q607" s="212"/>
      <c r="R607" s="212"/>
      <c r="S607" s="212"/>
      <c r="T607" s="212"/>
      <c r="U607" s="212"/>
      <c r="V607" s="212"/>
      <c r="W607" s="212"/>
      <c r="X607" s="212"/>
      <c r="Y607" s="212"/>
      <c r="Z607" s="212"/>
      <c r="AA607" s="212"/>
      <c r="AB607" s="212"/>
      <c r="AC607" s="196"/>
      <c r="AD607" s="27"/>
      <c r="AE607" s="213"/>
      <c r="AF607" s="212">
        <f t="shared" si="91"/>
        <v>-4.8476600511548895E-10</v>
      </c>
      <c r="AG607" s="212"/>
      <c r="AH607" s="212"/>
      <c r="AI607" s="212"/>
      <c r="AJ607" s="212"/>
      <c r="AK607" s="212"/>
      <c r="AL607" s="212"/>
      <c r="AM607" s="212"/>
      <c r="AN607" s="212"/>
      <c r="AO607" s="212"/>
      <c r="AP607" s="196"/>
      <c r="AQ607" s="196"/>
      <c r="AR607" s="211"/>
      <c r="AS607" s="212">
        <f t="shared" si="83"/>
        <v>-1.2121290637878702E-11</v>
      </c>
      <c r="AT607" s="212">
        <f>[1]!LIM(AT606+Mode*r0*((1+IntegrationStep/2/Ti+Td/IntegrationStep)*AS607-(1-IntegrationStep/2/Ti+2*Td/IntegrationStep)*AS606+Td/IntegrationStep*AS605))</f>
        <v>0.40307870363323156</v>
      </c>
      <c r="AU607" s="212">
        <f t="shared" si="84"/>
        <v>40.794124671602574</v>
      </c>
      <c r="AW607" s="58"/>
      <c r="AX607" s="58"/>
      <c r="AY607" s="58"/>
      <c r="AZ607" s="58"/>
    </row>
    <row r="608" spans="1:52" s="185" customFormat="1" ht="15" customHeight="1" x14ac:dyDescent="0.25">
      <c r="A608" s="200"/>
      <c r="B608" s="211"/>
      <c r="C608" s="212">
        <f t="shared" si="85"/>
        <v>59.700000000000578</v>
      </c>
      <c r="D608" s="231">
        <f>15+[1]!STEPLOAD(5)</f>
        <v>20</v>
      </c>
      <c r="E608" s="212">
        <f t="shared" si="87"/>
        <v>40.79412467276623</v>
      </c>
      <c r="F608" s="212">
        <f t="shared" si="88"/>
        <v>0.5</v>
      </c>
      <c r="G608" s="212">
        <f>5</f>
        <v>5</v>
      </c>
      <c r="H608" s="212">
        <f t="shared" si="86"/>
        <v>48.369444436325757</v>
      </c>
      <c r="I608" s="212">
        <f t="shared" si="89"/>
        <v>0.9</v>
      </c>
      <c r="J608" s="212">
        <f>1</f>
        <v>1</v>
      </c>
      <c r="K608" s="212">
        <f t="shared" si="90"/>
        <v>4.1870000000000003</v>
      </c>
      <c r="L608" s="212"/>
      <c r="M608" s="212"/>
      <c r="N608" s="212"/>
      <c r="O608" s="212"/>
      <c r="P608" s="212"/>
      <c r="Q608" s="212"/>
      <c r="R608" s="212"/>
      <c r="S608" s="212"/>
      <c r="T608" s="212"/>
      <c r="U608" s="212"/>
      <c r="V608" s="212"/>
      <c r="W608" s="212"/>
      <c r="X608" s="212"/>
      <c r="Y608" s="212"/>
      <c r="Z608" s="212"/>
      <c r="AA608" s="212"/>
      <c r="AB608" s="212"/>
      <c r="AC608" s="196"/>
      <c r="AD608" s="27"/>
      <c r="AE608" s="213"/>
      <c r="AF608" s="212">
        <f t="shared" si="91"/>
        <v>-4.6538950471131102E-10</v>
      </c>
      <c r="AG608" s="212"/>
      <c r="AH608" s="212"/>
      <c r="AI608" s="212"/>
      <c r="AJ608" s="212"/>
      <c r="AK608" s="212"/>
      <c r="AL608" s="212"/>
      <c r="AM608" s="212"/>
      <c r="AN608" s="212"/>
      <c r="AO608" s="212"/>
      <c r="AP608" s="196"/>
      <c r="AQ608" s="196"/>
      <c r="AR608" s="211"/>
      <c r="AS608" s="212">
        <f t="shared" si="83"/>
        <v>-1.1636558383543161E-11</v>
      </c>
      <c r="AT608" s="212">
        <f>[1]!LIM(AT607+Mode*r0*((1+IntegrationStep/2/Ti+Td/IntegrationStep)*AS608-(1-IntegrationStep/2/Ti+2*Td/IntegrationStep)*AS607+Td/IntegrationStep*AS606))</f>
        <v>0.40307870363604797</v>
      </c>
      <c r="AU608" s="212">
        <f t="shared" si="84"/>
        <v>40.794124671602574</v>
      </c>
      <c r="AW608" s="58"/>
      <c r="AX608" s="58"/>
      <c r="AY608" s="58"/>
      <c r="AZ608" s="58"/>
    </row>
    <row r="609" spans="1:52" s="185" customFormat="1" ht="15" customHeight="1" x14ac:dyDescent="0.25">
      <c r="A609" s="200"/>
      <c r="B609" s="211"/>
      <c r="C609" s="212">
        <f t="shared" si="85"/>
        <v>59.80000000000058</v>
      </c>
      <c r="D609" s="231">
        <f>15+[1]!STEPLOAD(5)</f>
        <v>20</v>
      </c>
      <c r="E609" s="212">
        <f t="shared" si="87"/>
        <v>40.79412467271969</v>
      </c>
      <c r="F609" s="212">
        <f t="shared" si="88"/>
        <v>0.5</v>
      </c>
      <c r="G609" s="212">
        <f>5</f>
        <v>5</v>
      </c>
      <c r="H609" s="212">
        <f t="shared" si="86"/>
        <v>48.369444436650312</v>
      </c>
      <c r="I609" s="212">
        <f t="shared" si="89"/>
        <v>0.9</v>
      </c>
      <c r="J609" s="212">
        <f>1</f>
        <v>1</v>
      </c>
      <c r="K609" s="212">
        <f t="shared" si="90"/>
        <v>4.1870000000000003</v>
      </c>
      <c r="L609" s="212"/>
      <c r="M609" s="212"/>
      <c r="N609" s="212"/>
      <c r="O609" s="212"/>
      <c r="P609" s="212"/>
      <c r="Q609" s="212"/>
      <c r="R609" s="212"/>
      <c r="S609" s="212"/>
      <c r="T609" s="212"/>
      <c r="U609" s="212"/>
      <c r="V609" s="212"/>
      <c r="W609" s="212"/>
      <c r="X609" s="212"/>
      <c r="Y609" s="212"/>
      <c r="Z609" s="212"/>
      <c r="AA609" s="212"/>
      <c r="AB609" s="212"/>
      <c r="AC609" s="196"/>
      <c r="AD609" s="27"/>
      <c r="AE609" s="213"/>
      <c r="AF609" s="212">
        <f t="shared" si="91"/>
        <v>-4.4678261090780325E-10</v>
      </c>
      <c r="AG609" s="212"/>
      <c r="AH609" s="212"/>
      <c r="AI609" s="212"/>
      <c r="AJ609" s="212"/>
      <c r="AK609" s="212"/>
      <c r="AL609" s="212"/>
      <c r="AM609" s="212"/>
      <c r="AN609" s="212"/>
      <c r="AO609" s="212"/>
      <c r="AP609" s="196"/>
      <c r="AQ609" s="196"/>
      <c r="AR609" s="211"/>
      <c r="AS609" s="212">
        <f t="shared" si="83"/>
        <v>-1.1171152891620295E-11</v>
      </c>
      <c r="AT609" s="212">
        <f>[1]!LIM(AT608+Mode*r0*((1+IntegrationStep/2/Ti+Td/IntegrationStep)*AS609-(1-IntegrationStep/2/Ti+2*Td/IntegrationStep)*AS608+Td/IntegrationStep*AS607))</f>
        <v>0.40307870363875259</v>
      </c>
      <c r="AU609" s="212">
        <f t="shared" si="84"/>
        <v>40.794124671602574</v>
      </c>
      <c r="AW609" s="58"/>
      <c r="AX609" s="58"/>
      <c r="AY609" s="58"/>
      <c r="AZ609" s="58"/>
    </row>
    <row r="610" spans="1:52" s="185" customFormat="1" ht="15" customHeight="1" x14ac:dyDescent="0.25">
      <c r="A610" s="200"/>
      <c r="B610" s="211"/>
      <c r="C610" s="212">
        <f t="shared" si="85"/>
        <v>59.900000000000581</v>
      </c>
      <c r="D610" s="231">
        <f>15+[1]!STEPLOAD(5)</f>
        <v>20</v>
      </c>
      <c r="E610" s="212">
        <f t="shared" si="87"/>
        <v>40.794124672675011</v>
      </c>
      <c r="F610" s="212">
        <f t="shared" si="88"/>
        <v>0.5</v>
      </c>
      <c r="G610" s="212">
        <f>5</f>
        <v>5</v>
      </c>
      <c r="H610" s="212">
        <f t="shared" si="86"/>
        <v>48.369444436961885</v>
      </c>
      <c r="I610" s="212">
        <f t="shared" si="89"/>
        <v>0.9</v>
      </c>
      <c r="J610" s="212">
        <f>1</f>
        <v>1</v>
      </c>
      <c r="K610" s="212">
        <f t="shared" si="90"/>
        <v>4.1870000000000003</v>
      </c>
      <c r="L610" s="212"/>
      <c r="M610" s="212"/>
      <c r="N610" s="212"/>
      <c r="O610" s="212"/>
      <c r="P610" s="212"/>
      <c r="Q610" s="212"/>
      <c r="R610" s="212"/>
      <c r="S610" s="212"/>
      <c r="T610" s="212"/>
      <c r="U610" s="212"/>
      <c r="V610" s="212"/>
      <c r="W610" s="212"/>
      <c r="X610" s="212"/>
      <c r="Y610" s="212"/>
      <c r="Z610" s="212"/>
      <c r="AA610" s="212"/>
      <c r="AB610" s="212"/>
      <c r="AC610" s="196"/>
      <c r="AD610" s="27"/>
      <c r="AE610" s="213"/>
      <c r="AF610" s="212">
        <f t="shared" si="91"/>
        <v>-4.2892001062000418E-10</v>
      </c>
      <c r="AG610" s="212"/>
      <c r="AH610" s="212"/>
      <c r="AI610" s="212"/>
      <c r="AJ610" s="212"/>
      <c r="AK610" s="212"/>
      <c r="AL610" s="212"/>
      <c r="AM610" s="212"/>
      <c r="AN610" s="212"/>
      <c r="AO610" s="212"/>
      <c r="AP610" s="196"/>
      <c r="AQ610" s="196"/>
      <c r="AR610" s="211"/>
      <c r="AS610" s="212">
        <f t="shared" si="83"/>
        <v>-1.0724363619374344E-11</v>
      </c>
      <c r="AT610" s="212">
        <f>[1]!LIM(AT609+Mode*r0*((1+IntegrationStep/2/Ti+Td/IntegrationStep)*AS610-(1-IntegrationStep/2/Ti+2*Td/IntegrationStep)*AS609+Td/IntegrationStep*AS608))</f>
        <v>0.40307870364134901</v>
      </c>
      <c r="AU610" s="212">
        <f t="shared" si="84"/>
        <v>40.794124671602574</v>
      </c>
      <c r="AW610" s="58"/>
      <c r="AX610" s="58"/>
      <c r="AY610" s="58"/>
      <c r="AZ610" s="58"/>
    </row>
    <row r="611" spans="1:52" s="185" customFormat="1" ht="15" customHeight="1" thickBot="1" x14ac:dyDescent="0.3">
      <c r="A611" s="194"/>
      <c r="B611" s="201" t="s">
        <v>67</v>
      </c>
      <c r="C611" s="214">
        <f t="shared" si="85"/>
        <v>60.000000000000583</v>
      </c>
      <c r="D611" s="232">
        <f>15</f>
        <v>15</v>
      </c>
      <c r="E611" s="232">
        <f t="shared" si="87"/>
        <v>40.794124672632115</v>
      </c>
      <c r="F611" s="232">
        <f t="shared" si="88"/>
        <v>0.5</v>
      </c>
      <c r="G611" s="232">
        <f>5</f>
        <v>5</v>
      </c>
      <c r="H611" s="232">
        <f t="shared" si="86"/>
        <v>48.369444437261052</v>
      </c>
      <c r="I611" s="232">
        <f t="shared" si="89"/>
        <v>0.9</v>
      </c>
      <c r="J611" s="232">
        <f>1</f>
        <v>1</v>
      </c>
      <c r="K611" s="232">
        <f t="shared" si="90"/>
        <v>4.1870000000000003</v>
      </c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  <c r="AA611" s="232"/>
      <c r="AB611" s="232"/>
      <c r="AC611" s="196"/>
      <c r="AD611" s="27"/>
      <c r="AE611" s="233"/>
      <c r="AF611" s="232">
        <f t="shared" si="91"/>
        <v>-0.50000000041176929</v>
      </c>
      <c r="AG611" s="232"/>
      <c r="AH611" s="232"/>
      <c r="AI611" s="232"/>
      <c r="AJ611" s="232"/>
      <c r="AK611" s="232"/>
      <c r="AL611" s="232"/>
      <c r="AM611" s="232"/>
      <c r="AN611" s="232"/>
      <c r="AO611" s="232"/>
      <c r="AP611" s="196"/>
      <c r="AQ611" s="196"/>
      <c r="AR611" s="234"/>
      <c r="AS611" s="232">
        <f t="shared" si="83"/>
        <v>-1.0295408969795972E-11</v>
      </c>
      <c r="AT611" s="232">
        <f>[1]!LIM(AT610+Mode*r0*((1+IntegrationStep/2/Ti+Td/IntegrationStep)*AS611-(1-IntegrationStep/2/Ti+2*Td/IntegrationStep)*AS610+Td/IntegrationStep*AS609))</f>
        <v>0.40307870364384213</v>
      </c>
      <c r="AU611" s="232">
        <f t="shared" si="84"/>
        <v>40.794124671602574</v>
      </c>
      <c r="AW611" s="58"/>
      <c r="AX611" s="58"/>
      <c r="AY611" s="58"/>
      <c r="AZ611" s="58"/>
    </row>
    <row r="612" spans="1:52" ht="15" customHeight="1" x14ac:dyDescent="0.25">
      <c r="AW612" s="174"/>
      <c r="AX612" s="174"/>
      <c r="AY612" s="174"/>
      <c r="AZ612" s="174"/>
    </row>
    <row r="613" spans="1:52" ht="13.5" customHeight="1" x14ac:dyDescent="0.25">
      <c r="AW613" s="174"/>
      <c r="AX613" s="174"/>
      <c r="AY613" s="174"/>
      <c r="AZ613" s="174"/>
    </row>
    <row r="614" spans="1:52" ht="13.5" customHeight="1" x14ac:dyDescent="0.25">
      <c r="AW614" s="174"/>
      <c r="AX614" s="174"/>
      <c r="AY614" s="174"/>
      <c r="AZ614" s="174"/>
    </row>
    <row r="615" spans="1:52" ht="13.5" customHeight="1" x14ac:dyDescent="0.25">
      <c r="AW615" s="174"/>
      <c r="AX615" s="174"/>
      <c r="AY615" s="174"/>
      <c r="AZ615" s="174"/>
    </row>
    <row r="616" spans="1:52" ht="13.5" customHeight="1" x14ac:dyDescent="0.25">
      <c r="AW616" s="174"/>
      <c r="AX616" s="174"/>
      <c r="AY616" s="174"/>
      <c r="AZ616" s="174"/>
    </row>
    <row r="617" spans="1:52" ht="13.5" customHeight="1" x14ac:dyDescent="0.25">
      <c r="AW617" s="174"/>
      <c r="AX617" s="174"/>
      <c r="AY617" s="174"/>
      <c r="AZ617" s="174"/>
    </row>
    <row r="618" spans="1:52" ht="13.5" customHeight="1" x14ac:dyDescent="0.25">
      <c r="AW618" s="174"/>
      <c r="AX618" s="174"/>
      <c r="AY618" s="174"/>
      <c r="AZ618" s="174"/>
    </row>
    <row r="619" spans="1:52" ht="13.5" customHeight="1" x14ac:dyDescent="0.25">
      <c r="AW619" s="174"/>
      <c r="AX619" s="174"/>
      <c r="AY619" s="174"/>
      <c r="AZ619" s="174"/>
    </row>
    <row r="620" spans="1:52" ht="13.5" customHeight="1" x14ac:dyDescent="0.25">
      <c r="AW620" s="174"/>
      <c r="AX620" s="174"/>
      <c r="AY620" s="174"/>
      <c r="AZ620" s="174"/>
    </row>
    <row r="621" spans="1:52" ht="13.5" customHeight="1" x14ac:dyDescent="0.25">
      <c r="AW621" s="174"/>
      <c r="AX621" s="174"/>
      <c r="AY621" s="174"/>
      <c r="AZ621" s="174"/>
    </row>
    <row r="622" spans="1:52" ht="13.5" customHeight="1" x14ac:dyDescent="0.25">
      <c r="AW622" s="174"/>
      <c r="AX622" s="174"/>
      <c r="AY622" s="174"/>
      <c r="AZ622" s="174"/>
    </row>
    <row r="623" spans="1:52" ht="13.5" customHeight="1" x14ac:dyDescent="0.25">
      <c r="AW623" s="174"/>
      <c r="AX623" s="174"/>
      <c r="AY623" s="174"/>
      <c r="AZ623" s="174"/>
    </row>
    <row r="624" spans="1:52" ht="13.5" customHeight="1" x14ac:dyDescent="0.25">
      <c r="AW624" s="174"/>
      <c r="AX624" s="174"/>
      <c r="AY624" s="174"/>
      <c r="AZ624" s="174"/>
    </row>
    <row r="625" spans="49:52" ht="13.5" customHeight="1" x14ac:dyDescent="0.25">
      <c r="AW625" s="174"/>
      <c r="AX625" s="174"/>
      <c r="AY625" s="174"/>
      <c r="AZ625" s="174"/>
    </row>
    <row r="626" spans="49:52" ht="13.5" customHeight="1" x14ac:dyDescent="0.25">
      <c r="AW626" s="174"/>
      <c r="AX626" s="174"/>
      <c r="AY626" s="174"/>
      <c r="AZ626" s="174"/>
    </row>
    <row r="627" spans="49:52" ht="13.5" customHeight="1" x14ac:dyDescent="0.25">
      <c r="AW627" s="174"/>
      <c r="AX627" s="174"/>
      <c r="AY627" s="174"/>
      <c r="AZ627" s="174"/>
    </row>
    <row r="628" spans="49:52" ht="13.5" customHeight="1" x14ac:dyDescent="0.25">
      <c r="AW628" s="174"/>
      <c r="AX628" s="174"/>
      <c r="AY628" s="174"/>
      <c r="AZ628" s="174"/>
    </row>
    <row r="629" spans="49:52" ht="13.5" customHeight="1" x14ac:dyDescent="0.25">
      <c r="AW629" s="174"/>
      <c r="AX629" s="174"/>
      <c r="AY629" s="174"/>
      <c r="AZ629" s="174"/>
    </row>
    <row r="630" spans="49:52" ht="13.5" customHeight="1" x14ac:dyDescent="0.25">
      <c r="AW630" s="230"/>
      <c r="AX630" s="230"/>
      <c r="AY630" s="230"/>
      <c r="AZ630" s="230"/>
    </row>
    <row r="631" spans="49:52" ht="13.5" customHeight="1" x14ac:dyDescent="0.25">
      <c r="AW631" s="230"/>
      <c r="AX631" s="230"/>
      <c r="AY631" s="230"/>
      <c r="AZ631" s="230"/>
    </row>
    <row r="632" spans="49:52" ht="13.5" customHeight="1" x14ac:dyDescent="0.25">
      <c r="AW632" s="230"/>
      <c r="AX632" s="230"/>
      <c r="AY632" s="230"/>
      <c r="AZ632" s="230"/>
    </row>
    <row r="633" spans="49:52" x14ac:dyDescent="0.25">
      <c r="AW633" s="230"/>
      <c r="AX633" s="230"/>
      <c r="AY633" s="230"/>
      <c r="AZ633" s="230"/>
    </row>
  </sheetData>
  <sheetProtection algorithmName="SHA-512" hashValue="bkF5wwfSt70R7PDDt2dUjZYHNtxWThMbEUzQkVGhHIUNSlIjP6YrdHwjL376oeHz+ZAdqUhW5D1tRZXSYv7Wcw==" saltValue="Bi266EF/q/tQ1OH9hfgW+A==" spinCount="100000" sheet="1" objects="1" scenarios="1" selectLockedCells="1"/>
  <mergeCells count="3">
    <mergeCell ref="A1:XFD1"/>
    <mergeCell ref="AX13:AX14"/>
    <mergeCell ref="AX23:AX24"/>
  </mergeCells>
  <conditionalFormatting sqref="AF10:AO10">
    <cfRule type="expression" dxfId="0" priority="1">
      <formula>ISBLANK(AF$9)</formula>
    </cfRule>
  </conditionalFormatting>
  <hyperlinks>
    <hyperlink ref="A1:XFD1" location="$A$3" tooltip="Click to hide the message" display="Tip:  Tune controller parameters by controls in the Controller group and then press the Rerun button for recalculation results"/>
  </hyperlink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Read me</vt:lpstr>
      <vt:lpstr>Model</vt:lpstr>
      <vt:lpstr>Model Report</vt:lpstr>
      <vt:lpstr>Loop</vt:lpstr>
      <vt:lpstr>Loop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2020-05-29T19:21:10Z</dcterms:created>
  <dcterms:modified xsi:type="dcterms:W3CDTF">2020-05-29T20:57:52Z</dcterms:modified>
</cp:coreProperties>
</file>