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5" yWindow="6465" windowWidth="25230" windowHeight="6510" activeTab="2"/>
  </bookViews>
  <sheets>
    <sheet name="Summary" sheetId="11" r:id="rId1"/>
    <sheet name="Both_0ppm" sheetId="9" r:id="rId2"/>
    <sheet name="Both_12k ppm" sheetId="10" r:id="rId3"/>
    <sheet name="H2S_12k ppm" sheetId="6" r:id="rId4"/>
    <sheet name="NH3_12k ppm" sheetId="8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1" l="1"/>
  <c r="D6" i="11"/>
  <c r="C6" i="11"/>
  <c r="E5" i="11"/>
  <c r="D5" i="11"/>
  <c r="C5" i="11"/>
  <c r="E4" i="11"/>
  <c r="D4" i="11"/>
  <c r="C4" i="11"/>
  <c r="E3" i="11"/>
  <c r="D3" i="11"/>
  <c r="C3" i="11"/>
  <c r="X100" i="6"/>
  <c r="W100" i="6"/>
  <c r="V100" i="6"/>
  <c r="X99" i="6"/>
  <c r="W99" i="6"/>
  <c r="V99" i="6"/>
  <c r="X98" i="6"/>
  <c r="W98" i="6"/>
  <c r="V98" i="6"/>
  <c r="X100" i="8"/>
  <c r="W100" i="8"/>
  <c r="V100" i="8"/>
  <c r="X99" i="8"/>
  <c r="W99" i="8"/>
  <c r="V99" i="8"/>
  <c r="X98" i="8"/>
  <c r="W98" i="8"/>
  <c r="V98" i="8"/>
  <c r="X100" i="9"/>
  <c r="W100" i="9"/>
  <c r="X99" i="9"/>
  <c r="W99" i="9"/>
  <c r="X98" i="9"/>
  <c r="W98" i="9"/>
  <c r="V100" i="9"/>
  <c r="V99" i="9"/>
  <c r="V98" i="9"/>
  <c r="V98" i="10"/>
  <c r="X10" i="8"/>
  <c r="W10" i="8"/>
  <c r="V10" i="8"/>
  <c r="J10" i="6"/>
  <c r="I10" i="6"/>
  <c r="H10" i="6"/>
  <c r="J9" i="6"/>
  <c r="I9" i="6"/>
  <c r="H9" i="6"/>
  <c r="J10" i="8"/>
  <c r="I10" i="8"/>
  <c r="H10" i="8"/>
  <c r="J9" i="8"/>
  <c r="I9" i="8"/>
  <c r="H9" i="8"/>
  <c r="J10" i="9"/>
  <c r="I10" i="9"/>
  <c r="H10" i="9"/>
  <c r="J9" i="9"/>
  <c r="J11" i="9" s="1"/>
  <c r="O11" i="9" s="1"/>
  <c r="I9" i="9"/>
  <c r="H9" i="9"/>
  <c r="J10" i="10"/>
  <c r="I10" i="10"/>
  <c r="H10" i="10"/>
  <c r="J9" i="10"/>
  <c r="I9" i="10"/>
  <c r="I11" i="10" s="1"/>
  <c r="N11" i="10" s="1"/>
  <c r="H9" i="10"/>
  <c r="J86" i="10"/>
  <c r="I86" i="10"/>
  <c r="H86" i="10"/>
  <c r="J75" i="10"/>
  <c r="O75" i="10" s="1"/>
  <c r="I75" i="10"/>
  <c r="H75" i="10"/>
  <c r="M75" i="10" s="1"/>
  <c r="J11" i="10"/>
  <c r="O11" i="10" s="1"/>
  <c r="N9" i="10"/>
  <c r="H11" i="10"/>
  <c r="M11" i="10" s="1"/>
  <c r="X2" i="10"/>
  <c r="W2" i="10"/>
  <c r="V2" i="10"/>
  <c r="X4" i="10"/>
  <c r="W4" i="10"/>
  <c r="V4" i="10"/>
  <c r="X5" i="10"/>
  <c r="W5" i="10"/>
  <c r="V5" i="10"/>
  <c r="G117" i="10"/>
  <c r="G114" i="10"/>
  <c r="O97" i="10"/>
  <c r="N97" i="10"/>
  <c r="M97" i="10"/>
  <c r="O95" i="10"/>
  <c r="N95" i="10"/>
  <c r="M95" i="10"/>
  <c r="O91" i="10"/>
  <c r="N91" i="10"/>
  <c r="M91" i="10"/>
  <c r="B89" i="10"/>
  <c r="O86" i="10"/>
  <c r="N86" i="10"/>
  <c r="M86" i="10"/>
  <c r="O84" i="10"/>
  <c r="N84" i="10"/>
  <c r="M84" i="10"/>
  <c r="O80" i="10"/>
  <c r="N80" i="10"/>
  <c r="M80" i="10"/>
  <c r="B78" i="10"/>
  <c r="N75" i="10"/>
  <c r="O73" i="10"/>
  <c r="N73" i="10"/>
  <c r="M73" i="10"/>
  <c r="O71" i="10"/>
  <c r="N71" i="10"/>
  <c r="M71" i="10"/>
  <c r="O69" i="10"/>
  <c r="N69" i="10"/>
  <c r="M69" i="10"/>
  <c r="B67" i="10"/>
  <c r="D61" i="10"/>
  <c r="D59" i="10"/>
  <c r="B56" i="10"/>
  <c r="B53" i="10"/>
  <c r="D53" i="10" s="1"/>
  <c r="D51" i="10"/>
  <c r="D50" i="10"/>
  <c r="D48" i="10"/>
  <c r="D47" i="10"/>
  <c r="D41" i="10"/>
  <c r="B38" i="10"/>
  <c r="D38" i="10" s="1"/>
  <c r="B37" i="10"/>
  <c r="D37" i="10" s="1"/>
  <c r="D30" i="10"/>
  <c r="D28" i="10"/>
  <c r="D27" i="10"/>
  <c r="D26" i="10"/>
  <c r="B23" i="10"/>
  <c r="B39" i="10" s="1"/>
  <c r="D39" i="10" s="1"/>
  <c r="O19" i="10"/>
  <c r="N19" i="10"/>
  <c r="M19" i="10"/>
  <c r="O16" i="10"/>
  <c r="N16" i="10"/>
  <c r="M16" i="10"/>
  <c r="O15" i="10"/>
  <c r="N15" i="10"/>
  <c r="M15" i="10"/>
  <c r="O13" i="10"/>
  <c r="N13" i="10"/>
  <c r="M13" i="10"/>
  <c r="B11" i="10"/>
  <c r="B122" i="10" s="1"/>
  <c r="B20" i="10" s="1"/>
  <c r="M10" i="10"/>
  <c r="B10" i="10"/>
  <c r="D10" i="10" s="1"/>
  <c r="O9" i="10"/>
  <c r="B9" i="10"/>
  <c r="B13" i="10" s="1"/>
  <c r="R5" i="10"/>
  <c r="Q5" i="10"/>
  <c r="O5" i="10"/>
  <c r="S5" i="10" s="1"/>
  <c r="N5" i="10"/>
  <c r="M5" i="10"/>
  <c r="O4" i="10"/>
  <c r="S4" i="10" s="1"/>
  <c r="N4" i="10"/>
  <c r="R4" i="10" s="1"/>
  <c r="M4" i="10"/>
  <c r="Q4" i="10" s="1"/>
  <c r="B3" i="10"/>
  <c r="S2" i="10"/>
  <c r="R2" i="10"/>
  <c r="Q2" i="10"/>
  <c r="O2" i="10"/>
  <c r="N2" i="10"/>
  <c r="M2" i="10"/>
  <c r="X19" i="9"/>
  <c r="W19" i="9"/>
  <c r="V19" i="9"/>
  <c r="J86" i="9"/>
  <c r="O86" i="9" s="1"/>
  <c r="I86" i="9"/>
  <c r="H86" i="9"/>
  <c r="J75" i="9"/>
  <c r="I75" i="9"/>
  <c r="H75" i="9"/>
  <c r="I11" i="9"/>
  <c r="N11" i="9" s="1"/>
  <c r="N9" i="9"/>
  <c r="R9" i="9" s="1"/>
  <c r="H11" i="9"/>
  <c r="M11" i="9" s="1"/>
  <c r="G117" i="9"/>
  <c r="G114" i="9"/>
  <c r="O97" i="9"/>
  <c r="N97" i="9"/>
  <c r="R97" i="9" s="1"/>
  <c r="W97" i="9" s="1"/>
  <c r="M97" i="9"/>
  <c r="B97" i="9"/>
  <c r="D97" i="9" s="1"/>
  <c r="O95" i="9"/>
  <c r="N95" i="9"/>
  <c r="M95" i="9"/>
  <c r="O91" i="9"/>
  <c r="N91" i="9"/>
  <c r="M91" i="9"/>
  <c r="B89" i="9"/>
  <c r="N86" i="9"/>
  <c r="M86" i="9"/>
  <c r="O84" i="9"/>
  <c r="N84" i="9"/>
  <c r="M84" i="9"/>
  <c r="O80" i="9"/>
  <c r="N80" i="9"/>
  <c r="M80" i="9"/>
  <c r="B78" i="9"/>
  <c r="M75" i="9"/>
  <c r="O75" i="9"/>
  <c r="N75" i="9"/>
  <c r="O73" i="9"/>
  <c r="N73" i="9"/>
  <c r="M73" i="9"/>
  <c r="B72" i="9"/>
  <c r="B71" i="9" s="1"/>
  <c r="O71" i="9"/>
  <c r="N71" i="9"/>
  <c r="M71" i="9"/>
  <c r="O69" i="9"/>
  <c r="N69" i="9"/>
  <c r="M69" i="9"/>
  <c r="B67" i="9"/>
  <c r="B64" i="9"/>
  <c r="D64" i="9" s="1"/>
  <c r="B62" i="9"/>
  <c r="D62" i="9" s="1"/>
  <c r="D61" i="9"/>
  <c r="D59" i="9"/>
  <c r="B56" i="9"/>
  <c r="B53" i="9"/>
  <c r="D53" i="9" s="1"/>
  <c r="D51" i="9"/>
  <c r="D50" i="9"/>
  <c r="D48" i="9"/>
  <c r="D47" i="9"/>
  <c r="D41" i="9"/>
  <c r="B37" i="9"/>
  <c r="D37" i="9" s="1"/>
  <c r="D30" i="9"/>
  <c r="B29" i="9"/>
  <c r="B40" i="9" s="1"/>
  <c r="D40" i="9" s="1"/>
  <c r="D28" i="9"/>
  <c r="D27" i="9"/>
  <c r="D26" i="9"/>
  <c r="B23" i="9"/>
  <c r="B39" i="9" s="1"/>
  <c r="D39" i="9" s="1"/>
  <c r="O19" i="9"/>
  <c r="N19" i="9"/>
  <c r="M19" i="9"/>
  <c r="O16" i="9"/>
  <c r="N16" i="9"/>
  <c r="M16" i="9"/>
  <c r="O15" i="9"/>
  <c r="N15" i="9"/>
  <c r="M15" i="9"/>
  <c r="O13" i="9"/>
  <c r="N13" i="9"/>
  <c r="M13" i="9"/>
  <c r="B11" i="9"/>
  <c r="B122" i="9" s="1"/>
  <c r="O10" i="9"/>
  <c r="N10" i="9"/>
  <c r="M10" i="9"/>
  <c r="B10" i="9"/>
  <c r="B58" i="9" s="1"/>
  <c r="O9" i="9"/>
  <c r="D9" i="9"/>
  <c r="B9" i="9"/>
  <c r="B73" i="9" s="1"/>
  <c r="O5" i="9"/>
  <c r="S5" i="9" s="1"/>
  <c r="N5" i="9"/>
  <c r="R5" i="9" s="1"/>
  <c r="M5" i="9"/>
  <c r="Q5" i="9" s="1"/>
  <c r="O4" i="9"/>
  <c r="S4" i="9" s="1"/>
  <c r="N4" i="9"/>
  <c r="R4" i="9" s="1"/>
  <c r="M4" i="9"/>
  <c r="Q4" i="9" s="1"/>
  <c r="B3" i="9"/>
  <c r="B20" i="9" s="1"/>
  <c r="R2" i="9"/>
  <c r="W2" i="9" s="1"/>
  <c r="Q2" i="9"/>
  <c r="V2" i="9" s="1"/>
  <c r="O2" i="9"/>
  <c r="S2" i="9" s="1"/>
  <c r="X2" i="9" s="1"/>
  <c r="N2" i="9"/>
  <c r="M2" i="9"/>
  <c r="X15" i="8"/>
  <c r="W15" i="8"/>
  <c r="V15" i="8"/>
  <c r="X4" i="8"/>
  <c r="W4" i="8"/>
  <c r="V4" i="8"/>
  <c r="J86" i="8"/>
  <c r="I86" i="8"/>
  <c r="H86" i="8"/>
  <c r="M86" i="8" s="1"/>
  <c r="J75" i="8"/>
  <c r="I75" i="8"/>
  <c r="N75" i="8" s="1"/>
  <c r="H75" i="8"/>
  <c r="M75" i="8" s="1"/>
  <c r="J11" i="8"/>
  <c r="O11" i="8" s="1"/>
  <c r="I11" i="8"/>
  <c r="N11" i="8" s="1"/>
  <c r="O10" i="8"/>
  <c r="N10" i="8"/>
  <c r="H11" i="8"/>
  <c r="M10" i="8"/>
  <c r="O75" i="8"/>
  <c r="N86" i="8"/>
  <c r="O86" i="8"/>
  <c r="G117" i="8"/>
  <c r="G114" i="8"/>
  <c r="O97" i="8"/>
  <c r="N97" i="8"/>
  <c r="M97" i="8"/>
  <c r="B97" i="8"/>
  <c r="D97" i="8" s="1"/>
  <c r="O95" i="8"/>
  <c r="N95" i="8"/>
  <c r="M95" i="8"/>
  <c r="O91" i="8"/>
  <c r="N91" i="8"/>
  <c r="M91" i="8"/>
  <c r="B89" i="8"/>
  <c r="O84" i="8"/>
  <c r="N84" i="8"/>
  <c r="M84" i="8"/>
  <c r="O80" i="8"/>
  <c r="N80" i="8"/>
  <c r="M80" i="8"/>
  <c r="B78" i="8"/>
  <c r="O73" i="8"/>
  <c r="N73" i="8"/>
  <c r="M73" i="8"/>
  <c r="O71" i="8"/>
  <c r="N71" i="8"/>
  <c r="M71" i="8"/>
  <c r="O69" i="8"/>
  <c r="N69" i="8"/>
  <c r="M69" i="8"/>
  <c r="B67" i="8"/>
  <c r="B64" i="8"/>
  <c r="D64" i="8" s="1"/>
  <c r="B62" i="8"/>
  <c r="D62" i="8" s="1"/>
  <c r="D61" i="8"/>
  <c r="D59" i="8"/>
  <c r="B56" i="8"/>
  <c r="B53" i="8"/>
  <c r="D53" i="8" s="1"/>
  <c r="D51" i="8"/>
  <c r="D50" i="8"/>
  <c r="D48" i="8"/>
  <c r="D47" i="8"/>
  <c r="D41" i="8"/>
  <c r="B31" i="8"/>
  <c r="B42" i="8" s="1"/>
  <c r="D42" i="8" s="1"/>
  <c r="D30" i="8"/>
  <c r="D28" i="8"/>
  <c r="D27" i="8"/>
  <c r="D26" i="8"/>
  <c r="B25" i="8"/>
  <c r="B36" i="8" s="1"/>
  <c r="D36" i="8" s="1"/>
  <c r="B23" i="8"/>
  <c r="B38" i="8" s="1"/>
  <c r="D38" i="8" s="1"/>
  <c r="O19" i="8"/>
  <c r="N19" i="8"/>
  <c r="M19" i="8"/>
  <c r="O16" i="8"/>
  <c r="N16" i="8"/>
  <c r="M16" i="8"/>
  <c r="O15" i="8"/>
  <c r="N15" i="8"/>
  <c r="M15" i="8"/>
  <c r="O13" i="8"/>
  <c r="N13" i="8"/>
  <c r="M13" i="8"/>
  <c r="B11" i="8"/>
  <c r="B122" i="8" s="1"/>
  <c r="B10" i="8"/>
  <c r="D10" i="8" s="1"/>
  <c r="B9" i="8"/>
  <c r="B29" i="8" s="1"/>
  <c r="O5" i="8"/>
  <c r="S5" i="8" s="1"/>
  <c r="N5" i="8"/>
  <c r="R5" i="8" s="1"/>
  <c r="M5" i="8"/>
  <c r="Q5" i="8" s="1"/>
  <c r="O4" i="8"/>
  <c r="S4" i="8" s="1"/>
  <c r="N4" i="8"/>
  <c r="R4" i="8" s="1"/>
  <c r="M4" i="8"/>
  <c r="Q4" i="8" s="1"/>
  <c r="B3" i="8"/>
  <c r="O2" i="8"/>
  <c r="S2" i="8" s="1"/>
  <c r="X2" i="8" s="1"/>
  <c r="N2" i="8"/>
  <c r="R2" i="8" s="1"/>
  <c r="W2" i="8" s="1"/>
  <c r="M2" i="8"/>
  <c r="Q2" i="8" s="1"/>
  <c r="V2" i="8" s="1"/>
  <c r="X5" i="6"/>
  <c r="J86" i="6"/>
  <c r="O86" i="6" s="1"/>
  <c r="I86" i="6"/>
  <c r="N86" i="6" s="1"/>
  <c r="H86" i="6"/>
  <c r="M86" i="6" s="1"/>
  <c r="J75" i="6"/>
  <c r="O75" i="6" s="1"/>
  <c r="I75" i="6"/>
  <c r="N75" i="6" s="1"/>
  <c r="H75" i="6"/>
  <c r="M75" i="6" s="1"/>
  <c r="O10" i="6"/>
  <c r="N10" i="6"/>
  <c r="M10" i="6"/>
  <c r="H11" i="6"/>
  <c r="M11" i="6" s="1"/>
  <c r="O97" i="6"/>
  <c r="N97" i="6"/>
  <c r="M97" i="6"/>
  <c r="O95" i="6"/>
  <c r="N95" i="6"/>
  <c r="M95" i="6"/>
  <c r="O91" i="6"/>
  <c r="N91" i="6"/>
  <c r="M91" i="6"/>
  <c r="O84" i="6"/>
  <c r="N84" i="6"/>
  <c r="M84" i="6"/>
  <c r="O80" i="6"/>
  <c r="N80" i="6"/>
  <c r="M80" i="6"/>
  <c r="B89" i="6"/>
  <c r="O73" i="6"/>
  <c r="N73" i="6"/>
  <c r="M73" i="6"/>
  <c r="O71" i="6"/>
  <c r="N71" i="6"/>
  <c r="M71" i="6"/>
  <c r="O69" i="6"/>
  <c r="N69" i="6"/>
  <c r="M69" i="6"/>
  <c r="B78" i="6"/>
  <c r="B67" i="6"/>
  <c r="D61" i="6"/>
  <c r="D59" i="6"/>
  <c r="B56" i="6"/>
  <c r="B53" i="6"/>
  <c r="D53" i="6" s="1"/>
  <c r="D51" i="6"/>
  <c r="D50" i="6"/>
  <c r="D48" i="6"/>
  <c r="D47" i="6"/>
  <c r="D41" i="6"/>
  <c r="O19" i="6"/>
  <c r="N19" i="6"/>
  <c r="M19" i="6"/>
  <c r="O16" i="6"/>
  <c r="N16" i="6"/>
  <c r="M16" i="6"/>
  <c r="D30" i="6"/>
  <c r="O15" i="6"/>
  <c r="N15" i="6"/>
  <c r="M15" i="6"/>
  <c r="D28" i="6"/>
  <c r="O13" i="6"/>
  <c r="N13" i="6"/>
  <c r="M13" i="6"/>
  <c r="D27" i="6"/>
  <c r="D26" i="6"/>
  <c r="O9" i="6"/>
  <c r="B23" i="6"/>
  <c r="B38" i="6" s="1"/>
  <c r="D38" i="6" s="1"/>
  <c r="O5" i="6"/>
  <c r="S5" i="6" s="1"/>
  <c r="N5" i="6"/>
  <c r="R5" i="6" s="1"/>
  <c r="W5" i="6" s="1"/>
  <c r="M5" i="6"/>
  <c r="Q5" i="6" s="1"/>
  <c r="V5" i="6" s="1"/>
  <c r="O4" i="6"/>
  <c r="S4" i="6" s="1"/>
  <c r="N4" i="6"/>
  <c r="R4" i="6" s="1"/>
  <c r="M4" i="6"/>
  <c r="Q4" i="6" s="1"/>
  <c r="O2" i="6"/>
  <c r="S2" i="6" s="1"/>
  <c r="X2" i="6" s="1"/>
  <c r="N2" i="6"/>
  <c r="R2" i="6" s="1"/>
  <c r="W2" i="6" s="1"/>
  <c r="M2" i="6"/>
  <c r="Q2" i="6" s="1"/>
  <c r="V2" i="6" s="1"/>
  <c r="B11" i="6"/>
  <c r="B31" i="6" s="1"/>
  <c r="B10" i="6"/>
  <c r="G117" i="6"/>
  <c r="B3" i="6"/>
  <c r="G114" i="6"/>
  <c r="B9" i="6" s="1"/>
  <c r="M9" i="10" l="1"/>
  <c r="R9" i="10"/>
  <c r="W9" i="10" s="1"/>
  <c r="B73" i="10"/>
  <c r="D9" i="10"/>
  <c r="B58" i="10"/>
  <c r="B70" i="10" s="1"/>
  <c r="B49" i="10"/>
  <c r="B14" i="10"/>
  <c r="D13" i="10"/>
  <c r="Q13" i="10" s="1"/>
  <c r="V13" i="10" s="1"/>
  <c r="R86" i="10"/>
  <c r="W86" i="10" s="1"/>
  <c r="D70" i="10"/>
  <c r="B81" i="10"/>
  <c r="S86" i="10"/>
  <c r="X86" i="10" s="1"/>
  <c r="Q75" i="10"/>
  <c r="V75" i="10" s="1"/>
  <c r="Q10" i="10"/>
  <c r="V10" i="10" s="1"/>
  <c r="R11" i="10"/>
  <c r="W11" i="10" s="1"/>
  <c r="Q86" i="10"/>
  <c r="V86" i="10" s="1"/>
  <c r="D58" i="10"/>
  <c r="D11" i="10"/>
  <c r="S11" i="10" s="1"/>
  <c r="X11" i="10" s="1"/>
  <c r="B64" i="10"/>
  <c r="D64" i="10" s="1"/>
  <c r="B86" i="10"/>
  <c r="D86" i="10" s="1"/>
  <c r="B29" i="10"/>
  <c r="B75" i="10"/>
  <c r="D75" i="10" s="1"/>
  <c r="R75" i="10" s="1"/>
  <c r="W75" i="10" s="1"/>
  <c r="N10" i="10"/>
  <c r="R10" i="10" s="1"/>
  <c r="W10" i="10" s="1"/>
  <c r="O10" i="10"/>
  <c r="S10" i="10" s="1"/>
  <c r="X10" i="10" s="1"/>
  <c r="B97" i="10"/>
  <c r="D97" i="10" s="1"/>
  <c r="S97" i="10" s="1"/>
  <c r="X97" i="10" s="1"/>
  <c r="B25" i="10"/>
  <c r="B31" i="10"/>
  <c r="B62" i="10"/>
  <c r="S9" i="9"/>
  <c r="D71" i="9"/>
  <c r="R71" i="9" s="1"/>
  <c r="B82" i="9"/>
  <c r="R11" i="9"/>
  <c r="W11" i="9" s="1"/>
  <c r="B70" i="9"/>
  <c r="D58" i="9"/>
  <c r="S11" i="9"/>
  <c r="X11" i="9" s="1"/>
  <c r="S97" i="9"/>
  <c r="X97" i="9" s="1"/>
  <c r="Q97" i="9"/>
  <c r="V97" i="9" s="1"/>
  <c r="B84" i="9"/>
  <c r="D73" i="9"/>
  <c r="Q11" i="9"/>
  <c r="V11" i="9" s="1"/>
  <c r="R10" i="9"/>
  <c r="S10" i="9"/>
  <c r="Q75" i="9"/>
  <c r="V75" i="9" s="1"/>
  <c r="Q86" i="9"/>
  <c r="V86" i="9" s="1"/>
  <c r="D72" i="9"/>
  <c r="D10" i="9"/>
  <c r="Q10" i="9" s="1"/>
  <c r="B13" i="9"/>
  <c r="D29" i="9"/>
  <c r="B38" i="9"/>
  <c r="D38" i="9" s="1"/>
  <c r="B83" i="9"/>
  <c r="M9" i="9"/>
  <c r="Q9" i="9" s="1"/>
  <c r="B25" i="9"/>
  <c r="B31" i="9"/>
  <c r="B75" i="9"/>
  <c r="D75" i="9" s="1"/>
  <c r="R75" i="9" s="1"/>
  <c r="W75" i="9" s="1"/>
  <c r="D11" i="9"/>
  <c r="B86" i="9"/>
  <c r="D86" i="9" s="1"/>
  <c r="S86" i="9" s="1"/>
  <c r="X86" i="9" s="1"/>
  <c r="B73" i="8"/>
  <c r="B84" i="8" s="1"/>
  <c r="B72" i="8"/>
  <c r="D72" i="8" s="1"/>
  <c r="M9" i="8"/>
  <c r="M11" i="8"/>
  <c r="S97" i="8"/>
  <c r="X97" i="8" s="1"/>
  <c r="R86" i="8"/>
  <c r="W86" i="8" s="1"/>
  <c r="Q97" i="8"/>
  <c r="V97" i="8" s="1"/>
  <c r="D29" i="8"/>
  <c r="B40" i="8"/>
  <c r="D40" i="8" s="1"/>
  <c r="R97" i="8"/>
  <c r="W97" i="8" s="1"/>
  <c r="D84" i="8"/>
  <c r="Q84" i="8" s="1"/>
  <c r="B95" i="8"/>
  <c r="D95" i="8" s="1"/>
  <c r="Q86" i="8"/>
  <c r="V86" i="8" s="1"/>
  <c r="Q10" i="8"/>
  <c r="S84" i="8"/>
  <c r="R10" i="8"/>
  <c r="S86" i="8"/>
  <c r="X86" i="8" s="1"/>
  <c r="B20" i="8"/>
  <c r="S11" i="8"/>
  <c r="X11" i="8" s="1"/>
  <c r="S10" i="8"/>
  <c r="B58" i="8"/>
  <c r="D73" i="8"/>
  <c r="Q73" i="8" s="1"/>
  <c r="O9" i="8"/>
  <c r="S9" i="8" s="1"/>
  <c r="B13" i="8"/>
  <c r="B86" i="8"/>
  <c r="D86" i="8" s="1"/>
  <c r="B39" i="8"/>
  <c r="D39" i="8" s="1"/>
  <c r="D31" i="8"/>
  <c r="B37" i="8"/>
  <c r="D37" i="8" s="1"/>
  <c r="B71" i="8"/>
  <c r="B83" i="8"/>
  <c r="N9" i="8"/>
  <c r="R9" i="8" s="1"/>
  <c r="D9" i="8"/>
  <c r="Q9" i="8" s="1"/>
  <c r="D25" i="8"/>
  <c r="D11" i="8"/>
  <c r="B75" i="8"/>
  <c r="D75" i="8" s="1"/>
  <c r="Q75" i="8" s="1"/>
  <c r="V75" i="8" s="1"/>
  <c r="I11" i="6"/>
  <c r="N11" i="6" s="1"/>
  <c r="J11" i="6"/>
  <c r="O11" i="6" s="1"/>
  <c r="N9" i="6"/>
  <c r="M9" i="6"/>
  <c r="B42" i="6"/>
  <c r="D42" i="6" s="1"/>
  <c r="D31" i="6"/>
  <c r="B73" i="6"/>
  <c r="D9" i="6"/>
  <c r="B29" i="6"/>
  <c r="B13" i="6"/>
  <c r="B62" i="6"/>
  <c r="Q11" i="6"/>
  <c r="V11" i="6" s="1"/>
  <c r="B39" i="6"/>
  <c r="D39" i="6" s="1"/>
  <c r="D10" i="6"/>
  <c r="Q10" i="6" s="1"/>
  <c r="B86" i="6"/>
  <c r="D86" i="6" s="1"/>
  <c r="Q86" i="6" s="1"/>
  <c r="V86" i="6" s="1"/>
  <c r="B122" i="6"/>
  <c r="B20" i="6" s="1"/>
  <c r="B58" i="6"/>
  <c r="B75" i="6"/>
  <c r="D75" i="6" s="1"/>
  <c r="Q75" i="6" s="1"/>
  <c r="V75" i="6" s="1"/>
  <c r="B97" i="6"/>
  <c r="D97" i="6" s="1"/>
  <c r="Q97" i="6" s="1"/>
  <c r="V97" i="6" s="1"/>
  <c r="B37" i="6"/>
  <c r="D37" i="6" s="1"/>
  <c r="B25" i="6"/>
  <c r="D11" i="6"/>
  <c r="B64" i="6"/>
  <c r="D64" i="6" s="1"/>
  <c r="Q9" i="10" l="1"/>
  <c r="V9" i="10" s="1"/>
  <c r="S13" i="10"/>
  <c r="X13" i="10" s="1"/>
  <c r="S9" i="10"/>
  <c r="X9" i="10" s="1"/>
  <c r="D73" i="10"/>
  <c r="B84" i="10"/>
  <c r="D25" i="10"/>
  <c r="B36" i="10"/>
  <c r="D36" i="10" s="1"/>
  <c r="Q11" i="10"/>
  <c r="V11" i="10" s="1"/>
  <c r="B15" i="10"/>
  <c r="D14" i="10"/>
  <c r="Q97" i="10"/>
  <c r="V97" i="10" s="1"/>
  <c r="R13" i="10"/>
  <c r="W13" i="10" s="1"/>
  <c r="B72" i="10"/>
  <c r="D62" i="10"/>
  <c r="D29" i="10"/>
  <c r="B40" i="10"/>
  <c r="D40" i="10" s="1"/>
  <c r="S75" i="10"/>
  <c r="X75" i="10" s="1"/>
  <c r="B92" i="10"/>
  <c r="D92" i="10" s="1"/>
  <c r="D81" i="10"/>
  <c r="D31" i="10"/>
  <c r="B42" i="10"/>
  <c r="D42" i="10" s="1"/>
  <c r="R97" i="10"/>
  <c r="W97" i="10" s="1"/>
  <c r="B60" i="10"/>
  <c r="D60" i="10" s="1"/>
  <c r="D49" i="10"/>
  <c r="R73" i="9"/>
  <c r="Q73" i="9"/>
  <c r="S73" i="9"/>
  <c r="B94" i="9"/>
  <c r="D94" i="9" s="1"/>
  <c r="D83" i="9"/>
  <c r="B95" i="9"/>
  <c r="D95" i="9" s="1"/>
  <c r="D84" i="9"/>
  <c r="B49" i="9"/>
  <c r="D13" i="9"/>
  <c r="B14" i="9"/>
  <c r="B81" i="9"/>
  <c r="D70" i="9"/>
  <c r="D31" i="9"/>
  <c r="B42" i="9"/>
  <c r="D42" i="9" s="1"/>
  <c r="S75" i="9"/>
  <c r="X75" i="9" s="1"/>
  <c r="R86" i="9"/>
  <c r="W86" i="9" s="1"/>
  <c r="B36" i="9"/>
  <c r="D36" i="9" s="1"/>
  <c r="D25" i="9"/>
  <c r="B93" i="9"/>
  <c r="D93" i="9" s="1"/>
  <c r="D82" i="9"/>
  <c r="Q71" i="9"/>
  <c r="S71" i="9"/>
  <c r="Q11" i="8"/>
  <c r="V11" i="8" s="1"/>
  <c r="B14" i="8"/>
  <c r="D13" i="8"/>
  <c r="B49" i="8"/>
  <c r="R75" i="8"/>
  <c r="W75" i="8" s="1"/>
  <c r="S75" i="8"/>
  <c r="X75" i="8" s="1"/>
  <c r="B94" i="8"/>
  <c r="D94" i="8" s="1"/>
  <c r="D83" i="8"/>
  <c r="Q95" i="8"/>
  <c r="R95" i="8"/>
  <c r="R84" i="8"/>
  <c r="S73" i="8"/>
  <c r="R73" i="8"/>
  <c r="R11" i="8"/>
  <c r="W11" i="8" s="1"/>
  <c r="D71" i="8"/>
  <c r="B82" i="8"/>
  <c r="D58" i="8"/>
  <c r="B70" i="8"/>
  <c r="S95" i="8"/>
  <c r="S86" i="6"/>
  <c r="X86" i="6" s="1"/>
  <c r="R86" i="6"/>
  <c r="W86" i="6" s="1"/>
  <c r="R9" i="6"/>
  <c r="W9" i="6" s="1"/>
  <c r="S10" i="6"/>
  <c r="S9" i="6"/>
  <c r="X9" i="6" s="1"/>
  <c r="Q9" i="6"/>
  <c r="V9" i="6" s="1"/>
  <c r="R75" i="6"/>
  <c r="W75" i="6" s="1"/>
  <c r="D25" i="6"/>
  <c r="B36" i="6"/>
  <c r="D36" i="6" s="1"/>
  <c r="R11" i="6"/>
  <c r="W11" i="6" s="1"/>
  <c r="B84" i="6"/>
  <c r="D73" i="6"/>
  <c r="S97" i="6"/>
  <c r="X97" i="6" s="1"/>
  <c r="R97" i="6"/>
  <c r="W97" i="6" s="1"/>
  <c r="D58" i="6"/>
  <c r="B70" i="6"/>
  <c r="S75" i="6"/>
  <c r="X75" i="6" s="1"/>
  <c r="S11" i="6"/>
  <c r="X11" i="6" s="1"/>
  <c r="B14" i="6"/>
  <c r="D13" i="6"/>
  <c r="B49" i="6"/>
  <c r="B72" i="6"/>
  <c r="D62" i="6"/>
  <c r="D29" i="6"/>
  <c r="B40" i="6"/>
  <c r="D40" i="6" s="1"/>
  <c r="R10" i="6"/>
  <c r="B95" i="10" l="1"/>
  <c r="D95" i="10" s="1"/>
  <c r="D84" i="10"/>
  <c r="S73" i="10"/>
  <c r="X73" i="10" s="1"/>
  <c r="Q73" i="10"/>
  <c r="V73" i="10" s="1"/>
  <c r="R73" i="10"/>
  <c r="W73" i="10" s="1"/>
  <c r="B16" i="10"/>
  <c r="B52" i="10"/>
  <c r="D15" i="10"/>
  <c r="B74" i="10"/>
  <c r="B71" i="10"/>
  <c r="B83" i="10"/>
  <c r="D72" i="10"/>
  <c r="Q84" i="9"/>
  <c r="R84" i="9"/>
  <c r="S84" i="9"/>
  <c r="B92" i="9"/>
  <c r="D92" i="9" s="1"/>
  <c r="D81" i="9"/>
  <c r="B15" i="9"/>
  <c r="B74" i="9" s="1"/>
  <c r="D14" i="9"/>
  <c r="S13" i="9"/>
  <c r="R13" i="9"/>
  <c r="Q13" i="9"/>
  <c r="D49" i="9"/>
  <c r="B60" i="9"/>
  <c r="D60" i="9" s="1"/>
  <c r="S95" i="9"/>
  <c r="Q95" i="9"/>
  <c r="R95" i="9"/>
  <c r="B81" i="8"/>
  <c r="D70" i="8"/>
  <c r="Q13" i="8"/>
  <c r="R13" i="8"/>
  <c r="S13" i="8"/>
  <c r="D82" i="8"/>
  <c r="B93" i="8"/>
  <c r="D93" i="8" s="1"/>
  <c r="B15" i="8"/>
  <c r="D14" i="8"/>
  <c r="Q71" i="8"/>
  <c r="R71" i="8"/>
  <c r="S71" i="8"/>
  <c r="B60" i="8"/>
  <c r="D60" i="8" s="1"/>
  <c r="D49" i="8"/>
  <c r="D70" i="6"/>
  <c r="B81" i="6"/>
  <c r="D72" i="6"/>
  <c r="B83" i="6"/>
  <c r="B71" i="6"/>
  <c r="B60" i="6"/>
  <c r="D60" i="6" s="1"/>
  <c r="D49" i="6"/>
  <c r="Q13" i="6"/>
  <c r="V13" i="6" s="1"/>
  <c r="S13" i="6"/>
  <c r="X13" i="6" s="1"/>
  <c r="R13" i="6"/>
  <c r="W13" i="6" s="1"/>
  <c r="B15" i="6"/>
  <c r="D14" i="6"/>
  <c r="S73" i="6"/>
  <c r="X73" i="6" s="1"/>
  <c r="Q73" i="6"/>
  <c r="V73" i="6" s="1"/>
  <c r="R73" i="6"/>
  <c r="W73" i="6" s="1"/>
  <c r="B95" i="6"/>
  <c r="D95" i="6" s="1"/>
  <c r="D84" i="6"/>
  <c r="R84" i="10" l="1"/>
  <c r="W84" i="10" s="1"/>
  <c r="Q84" i="10"/>
  <c r="V84" i="10" s="1"/>
  <c r="S84" i="10"/>
  <c r="X84" i="10" s="1"/>
  <c r="S95" i="10"/>
  <c r="X95" i="10" s="1"/>
  <c r="R95" i="10"/>
  <c r="W95" i="10" s="1"/>
  <c r="Q95" i="10"/>
  <c r="V95" i="10" s="1"/>
  <c r="D74" i="10"/>
  <c r="B85" i="10"/>
  <c r="B69" i="10"/>
  <c r="D16" i="10"/>
  <c r="D83" i="10"/>
  <c r="B94" i="10"/>
  <c r="D94" i="10" s="1"/>
  <c r="B82" i="10"/>
  <c r="D71" i="10"/>
  <c r="S15" i="10"/>
  <c r="X15" i="10" s="1"/>
  <c r="Q15" i="10"/>
  <c r="V15" i="10" s="1"/>
  <c r="R15" i="10"/>
  <c r="W15" i="10" s="1"/>
  <c r="D52" i="10"/>
  <c r="B63" i="10"/>
  <c r="D63" i="10" s="1"/>
  <c r="D74" i="9"/>
  <c r="B85" i="9"/>
  <c r="D15" i="9"/>
  <c r="B52" i="9"/>
  <c r="B16" i="9"/>
  <c r="B16" i="8"/>
  <c r="B52" i="8"/>
  <c r="D15" i="8"/>
  <c r="B74" i="8"/>
  <c r="B92" i="8"/>
  <c r="D92" i="8" s="1"/>
  <c r="D81" i="8"/>
  <c r="B92" i="6"/>
  <c r="D92" i="6" s="1"/>
  <c r="D81" i="6"/>
  <c r="B16" i="6"/>
  <c r="B52" i="6"/>
  <c r="D15" i="6"/>
  <c r="B74" i="6"/>
  <c r="R84" i="6"/>
  <c r="W84" i="6" s="1"/>
  <c r="Q84" i="6"/>
  <c r="V84" i="6" s="1"/>
  <c r="S84" i="6"/>
  <c r="X84" i="6" s="1"/>
  <c r="S95" i="6"/>
  <c r="X95" i="6" s="1"/>
  <c r="Q95" i="6"/>
  <c r="V95" i="6" s="1"/>
  <c r="R95" i="6"/>
  <c r="W95" i="6" s="1"/>
  <c r="D71" i="6"/>
  <c r="B82" i="6"/>
  <c r="D83" i="6"/>
  <c r="B94" i="6"/>
  <c r="D94" i="6" s="1"/>
  <c r="R71" i="10" l="1"/>
  <c r="W71" i="10" s="1"/>
  <c r="Q71" i="10"/>
  <c r="V71" i="10" s="1"/>
  <c r="S71" i="10"/>
  <c r="X71" i="10" s="1"/>
  <c r="D82" i="10"/>
  <c r="B93" i="10"/>
  <c r="D93" i="10" s="1"/>
  <c r="S16" i="10"/>
  <c r="X16" i="10" s="1"/>
  <c r="Q16" i="10"/>
  <c r="V16" i="10" s="1"/>
  <c r="R16" i="10"/>
  <c r="W16" i="10" s="1"/>
  <c r="D69" i="10"/>
  <c r="B80" i="10"/>
  <c r="B18" i="10"/>
  <c r="B19" i="10" s="1"/>
  <c r="B96" i="10"/>
  <c r="D96" i="10" s="1"/>
  <c r="D85" i="10"/>
  <c r="B63" i="9"/>
  <c r="D63" i="9" s="1"/>
  <c r="D52" i="9"/>
  <c r="Q15" i="9"/>
  <c r="R15" i="9"/>
  <c r="S15" i="9"/>
  <c r="D16" i="9"/>
  <c r="B69" i="9"/>
  <c r="B96" i="9"/>
  <c r="D96" i="9" s="1"/>
  <c r="D85" i="9"/>
  <c r="S15" i="8"/>
  <c r="Q15" i="8"/>
  <c r="R15" i="8"/>
  <c r="D74" i="8"/>
  <c r="B85" i="8"/>
  <c r="D52" i="8"/>
  <c r="B63" i="8"/>
  <c r="D63" i="8" s="1"/>
  <c r="D16" i="8"/>
  <c r="B69" i="8"/>
  <c r="D52" i="6"/>
  <c r="B63" i="6"/>
  <c r="D63" i="6" s="1"/>
  <c r="D82" i="6"/>
  <c r="B93" i="6"/>
  <c r="D93" i="6" s="1"/>
  <c r="D74" i="6"/>
  <c r="B85" i="6"/>
  <c r="S71" i="6"/>
  <c r="X71" i="6" s="1"/>
  <c r="R71" i="6"/>
  <c r="W71" i="6" s="1"/>
  <c r="Q71" i="6"/>
  <c r="V71" i="6" s="1"/>
  <c r="R15" i="6"/>
  <c r="S15" i="6"/>
  <c r="Q15" i="6"/>
  <c r="D16" i="6"/>
  <c r="B69" i="6"/>
  <c r="B91" i="10" l="1"/>
  <c r="D91" i="10" s="1"/>
  <c r="D80" i="10"/>
  <c r="Q69" i="10"/>
  <c r="V69" i="10" s="1"/>
  <c r="S69" i="10"/>
  <c r="X69" i="10" s="1"/>
  <c r="R69" i="10"/>
  <c r="W69" i="10" s="1"/>
  <c r="S19" i="10"/>
  <c r="X19" i="10" s="1"/>
  <c r="Q19" i="10"/>
  <c r="V19" i="10" s="1"/>
  <c r="R19" i="10"/>
  <c r="W19" i="10" s="1"/>
  <c r="D69" i="9"/>
  <c r="B80" i="9"/>
  <c r="B18" i="9"/>
  <c r="B19" i="9" s="1"/>
  <c r="R16" i="9"/>
  <c r="S16" i="9"/>
  <c r="Q16" i="9"/>
  <c r="B80" i="8"/>
  <c r="D69" i="8"/>
  <c r="B18" i="8"/>
  <c r="B19" i="8" s="1"/>
  <c r="S16" i="8"/>
  <c r="Q16" i="8"/>
  <c r="R16" i="8"/>
  <c r="B96" i="8"/>
  <c r="D96" i="8" s="1"/>
  <c r="D85" i="8"/>
  <c r="B80" i="6"/>
  <c r="D69" i="6"/>
  <c r="B18" i="6"/>
  <c r="B19" i="6" s="1"/>
  <c r="D85" i="6"/>
  <c r="B96" i="6"/>
  <c r="D96" i="6" s="1"/>
  <c r="R16" i="6"/>
  <c r="W16" i="6" s="1"/>
  <c r="S16" i="6"/>
  <c r="X16" i="6" s="1"/>
  <c r="Q16" i="6"/>
  <c r="V16" i="6" s="1"/>
  <c r="S80" i="10" l="1"/>
  <c r="X80" i="10" s="1"/>
  <c r="R80" i="10"/>
  <c r="W80" i="10" s="1"/>
  <c r="Q80" i="10"/>
  <c r="V80" i="10" s="1"/>
  <c r="S91" i="10"/>
  <c r="X91" i="10" s="1"/>
  <c r="Q91" i="10"/>
  <c r="V91" i="10" s="1"/>
  <c r="R91" i="10"/>
  <c r="W91" i="10" s="1"/>
  <c r="W98" i="10"/>
  <c r="W99" i="10"/>
  <c r="W100" i="10"/>
  <c r="V100" i="10"/>
  <c r="V99" i="10"/>
  <c r="X100" i="10"/>
  <c r="X98" i="10"/>
  <c r="X99" i="10"/>
  <c r="R19" i="9"/>
  <c r="Q19" i="9"/>
  <c r="S19" i="9"/>
  <c r="B91" i="9"/>
  <c r="D91" i="9" s="1"/>
  <c r="D80" i="9"/>
  <c r="R69" i="9"/>
  <c r="Q69" i="9"/>
  <c r="S69" i="9"/>
  <c r="Q19" i="8"/>
  <c r="V19" i="8" s="1"/>
  <c r="R19" i="8"/>
  <c r="W19" i="8" s="1"/>
  <c r="S19" i="8"/>
  <c r="X19" i="8" s="1"/>
  <c r="S69" i="8"/>
  <c r="X69" i="8" s="1"/>
  <c r="R69" i="8"/>
  <c r="W69" i="8" s="1"/>
  <c r="Q69" i="8"/>
  <c r="V69" i="8" s="1"/>
  <c r="D80" i="8"/>
  <c r="B91" i="8"/>
  <c r="D91" i="8" s="1"/>
  <c r="R19" i="6"/>
  <c r="W19" i="6" s="1"/>
  <c r="S19" i="6"/>
  <c r="X19" i="6" s="1"/>
  <c r="Q19" i="6"/>
  <c r="V19" i="6" s="1"/>
  <c r="Q69" i="6"/>
  <c r="V69" i="6" s="1"/>
  <c r="S69" i="6"/>
  <c r="X69" i="6" s="1"/>
  <c r="R69" i="6"/>
  <c r="W69" i="6" s="1"/>
  <c r="D80" i="6"/>
  <c r="B91" i="6"/>
  <c r="D91" i="6" s="1"/>
  <c r="Q80" i="9" l="1"/>
  <c r="R80" i="9"/>
  <c r="S80" i="9"/>
  <c r="Q91" i="9"/>
  <c r="R91" i="9"/>
  <c r="S91" i="9"/>
  <c r="Q80" i="8"/>
  <c r="V80" i="8" s="1"/>
  <c r="R80" i="8"/>
  <c r="W80" i="8" s="1"/>
  <c r="S80" i="8"/>
  <c r="X80" i="8" s="1"/>
  <c r="Q91" i="8"/>
  <c r="V91" i="8" s="1"/>
  <c r="S91" i="8"/>
  <c r="X91" i="8" s="1"/>
  <c r="R91" i="8"/>
  <c r="W91" i="8" s="1"/>
  <c r="Q80" i="6"/>
  <c r="V80" i="6" s="1"/>
  <c r="S80" i="6"/>
  <c r="X80" i="6" s="1"/>
  <c r="R80" i="6"/>
  <c r="W80" i="6" s="1"/>
  <c r="Q91" i="6"/>
  <c r="V91" i="6" s="1"/>
  <c r="S91" i="6"/>
  <c r="X91" i="6" s="1"/>
  <c r="R91" i="6"/>
  <c r="W91" i="6" s="1"/>
</calcChain>
</file>

<file path=xl/sharedStrings.xml><?xml version="1.0" encoding="utf-8"?>
<sst xmlns="http://schemas.openxmlformats.org/spreadsheetml/2006/main" count="1238" uniqueCount="109">
  <si>
    <t>Sour Water Flowrate</t>
  </si>
  <si>
    <t>Hydrogen Sulfide Concentration</t>
  </si>
  <si>
    <t>Moles Hydrogen Sulfide</t>
  </si>
  <si>
    <t>Moles Ammonia</t>
  </si>
  <si>
    <t>Moles Water</t>
  </si>
  <si>
    <t>Moles Copper (II) Sulfate</t>
  </si>
  <si>
    <t>Moles Sulfuric Acid produced</t>
  </si>
  <si>
    <t>Moles Sulfuric Acid needed</t>
  </si>
  <si>
    <t>Moles Ammonia needed</t>
  </si>
  <si>
    <t>Moles Water stage 3</t>
  </si>
  <si>
    <t>Clean Water production ratio</t>
  </si>
  <si>
    <t>Ximin</t>
  </si>
  <si>
    <t>Compunds</t>
  </si>
  <si>
    <t>Molecular Weights</t>
  </si>
  <si>
    <t>Ammonia</t>
  </si>
  <si>
    <t>Copper (II) Sulfate</t>
  </si>
  <si>
    <t>Copper (II) Sulfide</t>
  </si>
  <si>
    <t>Ammonium Sulfate</t>
  </si>
  <si>
    <t>Hydrogen Sulfide</t>
  </si>
  <si>
    <t>Sulfuric Acid</t>
  </si>
  <si>
    <t>Water</t>
  </si>
  <si>
    <t>g/mol</t>
  </si>
  <si>
    <t>gal/min</t>
  </si>
  <si>
    <t>ppm</t>
  </si>
  <si>
    <t>=</t>
  </si>
  <si>
    <t>g/L</t>
  </si>
  <si>
    <t>gpm</t>
  </si>
  <si>
    <t>moles/s</t>
  </si>
  <si>
    <t>Desity of Water</t>
  </si>
  <si>
    <t>πmax</t>
  </si>
  <si>
    <t>nb</t>
  </si>
  <si>
    <t>R</t>
  </si>
  <si>
    <t>T</t>
  </si>
  <si>
    <t>mole</t>
  </si>
  <si>
    <t>K</t>
  </si>
  <si>
    <t>kPa</t>
  </si>
  <si>
    <t>L kPa/K mole</t>
  </si>
  <si>
    <t>Holding Tanks</t>
  </si>
  <si>
    <t>Moles Ammonium Sulfate</t>
  </si>
  <si>
    <t>Moles Copper (II) Sulfide</t>
  </si>
  <si>
    <t>Chemical Analyzer</t>
  </si>
  <si>
    <t>Molar Flowrate</t>
  </si>
  <si>
    <t>Mass Flowrate</t>
  </si>
  <si>
    <t>kg/s</t>
  </si>
  <si>
    <t>moles/min</t>
  </si>
  <si>
    <t>g/min</t>
  </si>
  <si>
    <t>Chemical Additive Control Unit</t>
  </si>
  <si>
    <t>Moles Sulfuric Acid</t>
  </si>
  <si>
    <t>Continously Stirred Tank Reactor In</t>
  </si>
  <si>
    <t>Continously Stirred Tank Reactor Out</t>
  </si>
  <si>
    <t>H2S</t>
  </si>
  <si>
    <t>NH3</t>
  </si>
  <si>
    <t>Solid Separation</t>
  </si>
  <si>
    <t>Reverse Osmosis</t>
  </si>
  <si>
    <t>Gamma</t>
  </si>
  <si>
    <t>Sim Value (Min)</t>
  </si>
  <si>
    <t>Sim Value (Avg)</t>
  </si>
  <si>
    <t>Sim Value (Max)</t>
  </si>
  <si>
    <t>Ammonia Concentration</t>
  </si>
  <si>
    <t>Volumetric Flow Rate</t>
  </si>
  <si>
    <t>Sim Log Equivalent Field</t>
  </si>
  <si>
    <t>Concentration of Hydrogen Sulfide (leaving CSTR)</t>
  </si>
  <si>
    <t>Concentration of Ammonia (leaving CSTR)</t>
  </si>
  <si>
    <t>Grams CuS</t>
  </si>
  <si>
    <t>Grams H2SO4</t>
  </si>
  <si>
    <t>-</t>
  </si>
  <si>
    <t>Grams NH3</t>
  </si>
  <si>
    <t>Final Concentration of Water</t>
  </si>
  <si>
    <t>Clean Water Production Percentage</t>
  </si>
  <si>
    <t>B6</t>
  </si>
  <si>
    <t>B7</t>
  </si>
  <si>
    <t>B8</t>
  </si>
  <si>
    <t>Not accounted for in sim</t>
  </si>
  <si>
    <t>Derived value</t>
  </si>
  <si>
    <t>B67</t>
  </si>
  <si>
    <t>B68</t>
  </si>
  <si>
    <t>B69</t>
  </si>
  <si>
    <t>B71</t>
  </si>
  <si>
    <t>Concentration of Hydrogen Sulfide (leaving SSU)</t>
  </si>
  <si>
    <t>B78</t>
  </si>
  <si>
    <t>B79</t>
  </si>
  <si>
    <t>B80</t>
  </si>
  <si>
    <t>B82</t>
  </si>
  <si>
    <t>Final Concentration of Hydrogen Sulfide</t>
  </si>
  <si>
    <t>Final Concentration of Ammonia</t>
  </si>
  <si>
    <t>Converted Sim Values (Normalize Units)</t>
  </si>
  <si>
    <t>Derived Value</t>
  </si>
  <si>
    <t>SSU_NH3 Percent</t>
  </si>
  <si>
    <t>SSU_H2S Percent</t>
  </si>
  <si>
    <t>ROU_H2S Percent</t>
  </si>
  <si>
    <t>ROU_NH3 Percent</t>
  </si>
  <si>
    <t>Absolute Difference</t>
  </si>
  <si>
    <t>Relative Difference</t>
  </si>
  <si>
    <t>Min</t>
  </si>
  <si>
    <t>Average</t>
  </si>
  <si>
    <t>Max</t>
  </si>
  <si>
    <t>Concentration of Ammonia (leaving SSU)</t>
  </si>
  <si>
    <t>Dominant chemical may change due to uncertainy in measured concentrations which causes these differences</t>
  </si>
  <si>
    <t>CONSTANTS</t>
  </si>
  <si>
    <t>CONFIGURABLE PARAMETERS</t>
  </si>
  <si>
    <t>CALCULATIONS</t>
  </si>
  <si>
    <t>Test</t>
  </si>
  <si>
    <t>Min Relative Difference</t>
  </si>
  <si>
    <t>Average Relative Difference</t>
  </si>
  <si>
    <t>Max Relative Difference</t>
  </si>
  <si>
    <t>Both_0ppm</t>
  </si>
  <si>
    <t>Both_12k ppm</t>
  </si>
  <si>
    <t>H2S_12k ppm</t>
  </si>
  <si>
    <t>NH3_12k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</si>
</sst>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#,##0.000"/>
    <numFmt numFmtId="169" formatCode="0.0000"/>
    <numFmt numFmtId="170" formatCode="0.0000%"/>
    <numFmt numFmtId="171" formatCode="0.000E+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 style="double">
        <color rgb="FF3F3F3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0" borderId="0" applyNumberFormat="0" applyFill="0" applyBorder="0" applyAlignment="0" applyProtection="0"/>
  </cellStyleXfs>
  <cellXfs count="53">
    <xf numFmtId="0" fontId="0" fillId="0" borderId="0" xfId="0"/>
    <xf numFmtId="0" fontId="8" fillId="0" borderId="0" xfId="0" applyFont="1"/>
    <xf numFmtId="0" fontId="9" fillId="0" borderId="0" xfId="0" applyFont="1"/>
    <xf numFmtId="0" fontId="10" fillId="0" borderId="0" xfId="0" applyFont="1"/>
    <xf numFmtId="0" fontId="3" fillId="4" borderId="1" xfId="2"/>
    <xf numFmtId="0" fontId="0" fillId="0" borderId="3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2" borderId="0" xfId="0" applyFill="1" applyBorder="1"/>
    <xf numFmtId="0" fontId="1" fillId="0" borderId="6" xfId="0" applyFont="1" applyBorder="1"/>
    <xf numFmtId="0" fontId="0" fillId="0" borderId="9" xfId="0" applyBorder="1"/>
    <xf numFmtId="0" fontId="0" fillId="0" borderId="10" xfId="0" applyBorder="1"/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0" fillId="0" borderId="0" xfId="0" applyFont="1"/>
    <xf numFmtId="0" fontId="4" fillId="5" borderId="1" xfId="3"/>
    <xf numFmtId="169" fontId="0" fillId="0" borderId="0" xfId="0" applyNumberFormat="1"/>
    <xf numFmtId="10" fontId="0" fillId="0" borderId="0" xfId="0" applyNumberFormat="1"/>
    <xf numFmtId="169" fontId="5" fillId="6" borderId="2" xfId="4" applyNumberFormat="1"/>
    <xf numFmtId="10" fontId="2" fillId="3" borderId="0" xfId="1" applyNumberFormat="1"/>
    <xf numFmtId="0" fontId="0" fillId="0" borderId="4" xfId="0" applyBorder="1"/>
    <xf numFmtId="0" fontId="0" fillId="0" borderId="5" xfId="0" applyBorder="1"/>
    <xf numFmtId="0" fontId="0" fillId="0" borderId="8" xfId="0" applyBorder="1"/>
    <xf numFmtId="3" fontId="0" fillId="0" borderId="0" xfId="0" applyNumberFormat="1" applyBorder="1"/>
    <xf numFmtId="3" fontId="0" fillId="2" borderId="0" xfId="0" applyNumberFormat="1" applyFill="1" applyBorder="1"/>
    <xf numFmtId="3" fontId="0" fillId="2" borderId="9" xfId="0" applyNumberFormat="1" applyFill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170" fontId="0" fillId="0" borderId="0" xfId="0" applyNumberFormat="1" applyBorder="1"/>
    <xf numFmtId="4" fontId="0" fillId="0" borderId="0" xfId="0" applyNumberFormat="1" applyBorder="1"/>
    <xf numFmtId="16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166" fontId="0" fillId="0" borderId="0" xfId="0" applyNumberFormat="1" applyBorder="1"/>
    <xf numFmtId="165" fontId="0" fillId="0" borderId="0" xfId="0" applyNumberFormat="1" applyBorder="1"/>
    <xf numFmtId="11" fontId="0" fillId="0" borderId="0" xfId="0" applyNumberFormat="1" applyBorder="1"/>
    <xf numFmtId="169" fontId="0" fillId="0" borderId="0" xfId="0" applyNumberFormat="1" applyBorder="1"/>
    <xf numFmtId="171" fontId="0" fillId="0" borderId="0" xfId="0" applyNumberFormat="1" applyBorder="1"/>
    <xf numFmtId="165" fontId="0" fillId="0" borderId="9" xfId="0" applyNumberFormat="1" applyBorder="1"/>
    <xf numFmtId="2" fontId="0" fillId="0" borderId="9" xfId="0" applyNumberFormat="1" applyBorder="1"/>
    <xf numFmtId="0" fontId="0" fillId="0" borderId="4" xfId="0" applyBorder="1" applyAlignment="1">
      <alignment horizontal="left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6" fillId="0" borderId="0" xfId="5"/>
    <xf numFmtId="0" fontId="11" fillId="0" borderId="1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0" fontId="0" fillId="0" borderId="11" xfId="0" applyNumberFormat="1" applyBorder="1" applyAlignment="1">
      <alignment horizontal="center"/>
    </xf>
  </cellXfs>
  <cellStyles count="6">
    <cellStyle name="Calculation" xfId="3" builtinId="22"/>
    <cellStyle name="Check Cell" xfId="4" builtinId="23"/>
    <cellStyle name="Explanatory Text" xfId="5" builtinId="5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E6" sqref="E6"/>
    </sheetView>
  </sheetViews>
  <sheetFormatPr defaultRowHeight="15" x14ac:dyDescent="0.25"/>
  <cols>
    <col min="2" max="2" width="13.7109375" bestFit="1" customWidth="1"/>
    <col min="3" max="3" width="22.42578125" bestFit="1" customWidth="1"/>
    <col min="4" max="4" width="26.42578125" bestFit="1" customWidth="1"/>
    <col min="5" max="5" width="22.7109375" bestFit="1" customWidth="1"/>
  </cols>
  <sheetData>
    <row r="2" spans="2:5" x14ac:dyDescent="0.25">
      <c r="B2" s="50" t="s">
        <v>101</v>
      </c>
      <c r="C2" s="50" t="s">
        <v>102</v>
      </c>
      <c r="D2" s="50" t="s">
        <v>103</v>
      </c>
      <c r="E2" s="50" t="s">
        <v>104</v>
      </c>
    </row>
    <row r="3" spans="2:5" x14ac:dyDescent="0.25">
      <c r="B3" s="51" t="s">
        <v>105</v>
      </c>
      <c r="C3" s="52">
        <f>MAX(Both_0ppm!V98:X98)</f>
        <v>0</v>
      </c>
      <c r="D3" s="52">
        <f>MAX(Both_0ppm!V99:X99)</f>
        <v>5.6066191174694113E-4</v>
      </c>
      <c r="E3" s="52">
        <f>MAX(Both_0ppm!V100:X100)</f>
        <v>2.8026491294277224E-3</v>
      </c>
    </row>
    <row r="4" spans="2:5" x14ac:dyDescent="0.25">
      <c r="B4" s="51" t="s">
        <v>106</v>
      </c>
      <c r="C4" s="52">
        <f>MAX('Both_12k ppm'!V98:X98)</f>
        <v>2.6417287473808424E-6</v>
      </c>
      <c r="D4" s="52">
        <f>MAX('Both_12k ppm'!V99:X99)</f>
        <v>1.6873204502229971E-3</v>
      </c>
      <c r="E4" s="52">
        <f>MAX('Both_12k ppm'!V100:X100)</f>
        <v>2.8267542427601257E-3</v>
      </c>
    </row>
    <row r="5" spans="2:5" x14ac:dyDescent="0.25">
      <c r="B5" s="51" t="s">
        <v>107</v>
      </c>
      <c r="C5" s="52">
        <f>MAX('H2S_12k ppm'!V98:X98)</f>
        <v>0</v>
      </c>
      <c r="D5" s="52">
        <f>MAX('Both_12k ppm'!V99:X99)</f>
        <v>1.6873204502229971E-3</v>
      </c>
      <c r="E5" s="52">
        <f>MAX('Both_12k ppm'!V100:X100)</f>
        <v>2.8267542427601257E-3</v>
      </c>
    </row>
    <row r="6" spans="2:5" x14ac:dyDescent="0.25">
      <c r="B6" s="51" t="s">
        <v>108</v>
      </c>
      <c r="C6" s="52">
        <f>MAX('NH3_12k ppm'!V98:X98)</f>
        <v>0</v>
      </c>
      <c r="D6" s="52">
        <f>MAX('NH3_12k ppm'!V99:X99)</f>
        <v>1.0780378981228495E-3</v>
      </c>
      <c r="E6" s="52">
        <f>MAX('NH3_12k ppm'!V100:X100)</f>
        <v>2.8147019956037667E-3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opLeftCell="H72" workbookViewId="0">
      <selection activeCell="F4" sqref="F4"/>
    </sheetView>
  </sheetViews>
  <sheetFormatPr defaultRowHeight="15" x14ac:dyDescent="0.25"/>
  <cols>
    <col min="1" max="1" width="34.28515625" bestFit="1" customWidth="1"/>
    <col min="2" max="2" width="14.5703125" bestFit="1" customWidth="1"/>
    <col min="3" max="5" width="9.5703125" customWidth="1"/>
    <col min="6" max="6" width="18.42578125" bestFit="1" customWidth="1"/>
    <col min="7" max="7" width="45.7109375" bestFit="1" customWidth="1"/>
    <col min="8" max="8" width="15.28515625" bestFit="1" customWidth="1"/>
    <col min="9" max="9" width="15.140625" bestFit="1" customWidth="1"/>
    <col min="10" max="10" width="16.42578125" bestFit="1" customWidth="1"/>
    <col min="11" max="12" width="9.5703125" customWidth="1"/>
    <col min="13" max="15" width="12" bestFit="1" customWidth="1"/>
    <col min="16" max="18" width="9.5703125" customWidth="1"/>
    <col min="19" max="19" width="20.5703125" customWidth="1"/>
    <col min="22" max="24" width="11.140625" bestFit="1" customWidth="1"/>
    <col min="25" max="25" width="7.140625" customWidth="1"/>
    <col min="26" max="26" width="7.5703125" customWidth="1"/>
    <col min="27" max="27" width="5.42578125" customWidth="1"/>
  </cols>
  <sheetData>
    <row r="1" spans="1:24" ht="15.75" thickBot="1" x14ac:dyDescent="0.3">
      <c r="A1" s="27" t="s">
        <v>99</v>
      </c>
      <c r="B1" s="28"/>
      <c r="C1" s="29"/>
      <c r="G1" s="3" t="s">
        <v>60</v>
      </c>
      <c r="H1" s="3" t="s">
        <v>55</v>
      </c>
      <c r="I1" s="3" t="s">
        <v>56</v>
      </c>
      <c r="J1" s="3" t="s">
        <v>57</v>
      </c>
      <c r="K1" s="2"/>
      <c r="L1" s="2"/>
      <c r="M1" s="47" t="s">
        <v>85</v>
      </c>
      <c r="N1" s="47"/>
      <c r="O1" s="47"/>
      <c r="P1" s="14"/>
      <c r="Q1" s="49" t="s">
        <v>91</v>
      </c>
      <c r="R1" s="49"/>
      <c r="S1" s="49"/>
      <c r="V1" s="13" t="s">
        <v>92</v>
      </c>
      <c r="W1" s="13"/>
      <c r="X1" s="13"/>
    </row>
    <row r="2" spans="1:24" ht="16.5" thickTop="1" thickBot="1" x14ac:dyDescent="0.3">
      <c r="A2" s="6" t="s">
        <v>0</v>
      </c>
      <c r="B2" s="25">
        <v>5000</v>
      </c>
      <c r="C2" s="8" t="s">
        <v>22</v>
      </c>
      <c r="G2" s="15" t="s">
        <v>59</v>
      </c>
      <c r="H2" s="4">
        <v>315.45</v>
      </c>
      <c r="I2" s="4">
        <v>315.45</v>
      </c>
      <c r="J2" s="4">
        <v>315.45</v>
      </c>
      <c r="M2" s="16">
        <f>(H2/$G$115)*60</f>
        <v>4999.9867913911567</v>
      </c>
      <c r="N2" s="16">
        <f>(I2/$G$115)*60</f>
        <v>4999.9867913911567</v>
      </c>
      <c r="O2" s="16">
        <f>(J2/$G$115)*60</f>
        <v>4999.9867913911567</v>
      </c>
      <c r="Q2" s="19">
        <f>M2-$B2</f>
        <v>-1.3208608843342518E-2</v>
      </c>
      <c r="R2" s="19">
        <f>N2-$B2</f>
        <v>-1.3208608843342518E-2</v>
      </c>
      <c r="S2" s="19">
        <f>O2-$B2</f>
        <v>-1.3208608843342518E-2</v>
      </c>
      <c r="V2" s="20">
        <f t="shared" ref="V2:X3" si="0">ABS(Q2/M2)</f>
        <v>2.6417287473808424E-6</v>
      </c>
      <c r="W2" s="20">
        <f t="shared" si="0"/>
        <v>2.6417287473808424E-6</v>
      </c>
      <c r="X2" s="20">
        <f t="shared" si="0"/>
        <v>2.6417287473808424E-6</v>
      </c>
    </row>
    <row r="3" spans="1:24" ht="16.5" thickTop="1" thickBot="1" x14ac:dyDescent="0.3">
      <c r="A3" s="10" t="s">
        <v>29</v>
      </c>
      <c r="B3" s="9">
        <f>(70000-100)/1.1</f>
        <v>63545.454545454537</v>
      </c>
      <c r="C3" s="8" t="s">
        <v>35</v>
      </c>
    </row>
    <row r="4" spans="1:24" ht="16.5" thickTop="1" thickBot="1" x14ac:dyDescent="0.3">
      <c r="A4" s="6" t="s">
        <v>58</v>
      </c>
      <c r="B4" s="25">
        <v>0</v>
      </c>
      <c r="C4" s="8" t="s">
        <v>23</v>
      </c>
      <c r="G4" t="s">
        <v>58</v>
      </c>
      <c r="H4" s="4">
        <v>0</v>
      </c>
      <c r="I4" s="4">
        <v>0</v>
      </c>
      <c r="J4" s="4">
        <v>0</v>
      </c>
      <c r="M4" s="16">
        <f>H4</f>
        <v>0</v>
      </c>
      <c r="N4" s="16">
        <f>I4</f>
        <v>0</v>
      </c>
      <c r="O4" s="16">
        <f>J4</f>
        <v>0</v>
      </c>
      <c r="Q4" s="19">
        <f>M4-$B4</f>
        <v>0</v>
      </c>
      <c r="R4" s="19">
        <f>N4-$B4</f>
        <v>0</v>
      </c>
      <c r="S4" s="19">
        <f>O4-$B4</f>
        <v>0</v>
      </c>
      <c r="V4" s="20">
        <v>0</v>
      </c>
      <c r="W4" s="20">
        <v>0</v>
      </c>
      <c r="X4" s="20">
        <v>0</v>
      </c>
    </row>
    <row r="5" spans="1:24" ht="16.5" thickTop="1" thickBot="1" x14ac:dyDescent="0.3">
      <c r="A5" s="23" t="s">
        <v>1</v>
      </c>
      <c r="B5" s="26">
        <v>0</v>
      </c>
      <c r="C5" s="12" t="s">
        <v>23</v>
      </c>
      <c r="G5" t="s">
        <v>1</v>
      </c>
      <c r="H5" s="4">
        <v>0</v>
      </c>
      <c r="I5" s="4">
        <v>0</v>
      </c>
      <c r="J5" s="4">
        <v>0</v>
      </c>
      <c r="M5" s="16">
        <f>H5</f>
        <v>0</v>
      </c>
      <c r="N5" s="16">
        <f>I5</f>
        <v>0</v>
      </c>
      <c r="O5" s="16">
        <f>J5</f>
        <v>0</v>
      </c>
      <c r="Q5" s="19">
        <f>M5-$B5</f>
        <v>0</v>
      </c>
      <c r="R5" s="19">
        <f>N5-$B5</f>
        <v>0</v>
      </c>
      <c r="S5" s="19">
        <f>O5-$B5</f>
        <v>0</v>
      </c>
      <c r="V5" s="20">
        <v>0</v>
      </c>
      <c r="W5" s="20">
        <v>0</v>
      </c>
      <c r="X5" s="20">
        <v>0</v>
      </c>
    </row>
    <row r="7" spans="1:24" ht="15.75" thickBot="1" x14ac:dyDescent="0.3">
      <c r="E7" s="46"/>
    </row>
    <row r="8" spans="1:24" ht="15.75" thickBot="1" x14ac:dyDescent="0.3">
      <c r="A8" s="27" t="s">
        <v>100</v>
      </c>
      <c r="B8" s="28"/>
      <c r="C8" s="28"/>
      <c r="D8" s="28"/>
      <c r="E8" s="29"/>
    </row>
    <row r="9" spans="1:24" ht="16.5" thickTop="1" thickBot="1" x14ac:dyDescent="0.3">
      <c r="A9" s="6" t="s">
        <v>2</v>
      </c>
      <c r="B9" s="7">
        <f>B5*B2*G115/B119/60*G114</f>
        <v>0</v>
      </c>
      <c r="C9" s="7" t="s">
        <v>27</v>
      </c>
      <c r="D9" s="7">
        <f>B$9*B$119/1000</f>
        <v>0</v>
      </c>
      <c r="E9" s="8" t="s">
        <v>43</v>
      </c>
      <c r="G9" t="s">
        <v>1</v>
      </c>
      <c r="H9" s="4">
        <f>H5</f>
        <v>0</v>
      </c>
      <c r="I9" s="4">
        <f t="shared" ref="I9:J9" si="1">I5</f>
        <v>0</v>
      </c>
      <c r="J9" s="4">
        <f t="shared" si="1"/>
        <v>0</v>
      </c>
      <c r="M9" s="16">
        <f>(((H9/$B$119)/1000*$H$2)  * $B$119 )/1000</f>
        <v>0</v>
      </c>
      <c r="N9" s="16">
        <f>(((I9/$B$119)/1000*$H$2)  * $B$119 )/1000</f>
        <v>0</v>
      </c>
      <c r="O9" s="16">
        <f>(((J9/$B$119)/1000*$H$2)  * $B$119 )/1000</f>
        <v>0</v>
      </c>
      <c r="Q9" s="19">
        <f>M9-$D9</f>
        <v>0</v>
      </c>
      <c r="R9" s="19">
        <f>N9-$D9</f>
        <v>0</v>
      </c>
      <c r="S9" s="19">
        <f>O9-$D9</f>
        <v>0</v>
      </c>
      <c r="V9" s="20">
        <v>0</v>
      </c>
      <c r="W9" s="20">
        <v>0</v>
      </c>
      <c r="X9" s="20">
        <v>0</v>
      </c>
    </row>
    <row r="10" spans="1:24" ht="16.5" thickTop="1" thickBot="1" x14ac:dyDescent="0.3">
      <c r="A10" s="6" t="s">
        <v>3</v>
      </c>
      <c r="B10" s="7">
        <f>B4*B2*G115/B115/60*G114</f>
        <v>0</v>
      </c>
      <c r="C10" s="7" t="s">
        <v>27</v>
      </c>
      <c r="D10" s="7">
        <f>B10*B115/1000</f>
        <v>0</v>
      </c>
      <c r="E10" s="8" t="s">
        <v>43</v>
      </c>
      <c r="G10" t="s">
        <v>58</v>
      </c>
      <c r="H10" s="4">
        <f>H4</f>
        <v>0</v>
      </c>
      <c r="I10" s="4">
        <f t="shared" ref="I10:J10" si="2">I4</f>
        <v>0</v>
      </c>
      <c r="J10" s="4">
        <f t="shared" si="2"/>
        <v>0</v>
      </c>
      <c r="M10" s="16">
        <f>(((H10/$B$115)/1000*$H$2)  * $B$115 )/1000</f>
        <v>0</v>
      </c>
      <c r="N10" s="16">
        <f>(((I10/$B$115)/1000*$H$2)  * $B$115 )/1000</f>
        <v>0</v>
      </c>
      <c r="O10" s="16">
        <f>(((J10/$B$115)/1000*$H$2)  * $B$115 )/1000</f>
        <v>0</v>
      </c>
      <c r="Q10" s="19">
        <f>M10-$D10</f>
        <v>0</v>
      </c>
      <c r="R10" s="19">
        <f>N10-$D10</f>
        <v>0</v>
      </c>
      <c r="S10" s="19">
        <f>O10-$D10</f>
        <v>0</v>
      </c>
      <c r="V10" s="20">
        <v>0</v>
      </c>
      <c r="W10" s="20">
        <v>0</v>
      </c>
      <c r="X10" s="20">
        <v>0</v>
      </c>
    </row>
    <row r="11" spans="1:24" ht="16.5" thickTop="1" thickBot="1" x14ac:dyDescent="0.3">
      <c r="A11" s="6" t="s">
        <v>4</v>
      </c>
      <c r="B11" s="7">
        <f>(B2*G115*B125)/B121/60</f>
        <v>17559.210607143861</v>
      </c>
      <c r="C11" s="7" t="s">
        <v>27</v>
      </c>
      <c r="D11" s="7">
        <f>B11*B121/1000</f>
        <v>316.33409566666671</v>
      </c>
      <c r="E11" s="8" t="s">
        <v>43</v>
      </c>
      <c r="G11" s="1" t="s">
        <v>86</v>
      </c>
      <c r="H11" s="4">
        <f>1000000-(H9+H10)/1000</f>
        <v>1000000</v>
      </c>
      <c r="I11" s="4">
        <f t="shared" ref="I11:J11" si="3">1000000-(I9+I10)/1000</f>
        <v>1000000</v>
      </c>
      <c r="J11" s="4">
        <f t="shared" si="3"/>
        <v>1000000</v>
      </c>
      <c r="M11" s="16">
        <f>(((H11/($B$121*1000))*$H$2)  * $B$121 )/1000</f>
        <v>315.45000000000005</v>
      </c>
      <c r="N11" s="16">
        <f>(((I11/($B$121*1000))*$H$2)  * $B$121 )/1000</f>
        <v>315.45000000000005</v>
      </c>
      <c r="O11" s="16">
        <f>(((J11/($B$121*1000))*$H$2)  * $B$121 )/1000</f>
        <v>315.45000000000005</v>
      </c>
      <c r="Q11" s="19">
        <f>M11-$D11</f>
        <v>-0.88409566666666706</v>
      </c>
      <c r="R11" s="19">
        <f>N11-$D11</f>
        <v>-0.88409566666666706</v>
      </c>
      <c r="S11" s="19">
        <f>O11-$D11</f>
        <v>-0.88409566666666706</v>
      </c>
      <c r="V11" s="20">
        <f t="shared" ref="V11:X12" si="4">ABS(Q11/M11)</f>
        <v>2.8026491255877853E-3</v>
      </c>
      <c r="W11" s="20">
        <f t="shared" si="4"/>
        <v>2.8026491255877853E-3</v>
      </c>
      <c r="X11" s="20">
        <f t="shared" si="4"/>
        <v>2.8026491255877853E-3</v>
      </c>
    </row>
    <row r="12" spans="1:24" ht="16.5" thickTop="1" thickBot="1" x14ac:dyDescent="0.3">
      <c r="A12" s="6"/>
      <c r="B12" s="7"/>
      <c r="C12" s="7"/>
      <c r="D12" s="7"/>
      <c r="E12" s="8"/>
      <c r="Q12" s="17"/>
      <c r="R12" s="17"/>
      <c r="S12" s="17"/>
      <c r="V12" s="18"/>
      <c r="W12" s="18"/>
      <c r="X12" s="18"/>
    </row>
    <row r="13" spans="1:24" ht="16.5" thickTop="1" thickBot="1" x14ac:dyDescent="0.3">
      <c r="A13" s="6" t="s">
        <v>5</v>
      </c>
      <c r="B13" s="7">
        <f>B9</f>
        <v>0</v>
      </c>
      <c r="C13" s="7" t="s">
        <v>27</v>
      </c>
      <c r="D13" s="7">
        <f>(B13*B117)/1000</f>
        <v>0</v>
      </c>
      <c r="E13" s="8" t="s">
        <v>43</v>
      </c>
      <c r="G13" t="s">
        <v>63</v>
      </c>
      <c r="H13" s="4">
        <v>0</v>
      </c>
      <c r="I13" s="4">
        <v>0</v>
      </c>
      <c r="J13" s="4">
        <v>0</v>
      </c>
      <c r="M13" s="16">
        <f>H13/1000</f>
        <v>0</v>
      </c>
      <c r="N13" s="16">
        <f t="shared" ref="N13:O13" si="5">I13/1000</f>
        <v>0</v>
      </c>
      <c r="O13" s="16">
        <f t="shared" si="5"/>
        <v>0</v>
      </c>
      <c r="Q13" s="19">
        <f>M13-$D13</f>
        <v>0</v>
      </c>
      <c r="R13" s="19">
        <f>N13-$D13</f>
        <v>0</v>
      </c>
      <c r="S13" s="19">
        <f>O13-$D13</f>
        <v>0</v>
      </c>
      <c r="V13" s="20">
        <v>0</v>
      </c>
      <c r="W13" s="20">
        <v>0</v>
      </c>
      <c r="X13" s="20">
        <v>0</v>
      </c>
    </row>
    <row r="14" spans="1:24" ht="16.5" thickTop="1" thickBot="1" x14ac:dyDescent="0.3">
      <c r="A14" s="6" t="s">
        <v>6</v>
      </c>
      <c r="B14" s="7">
        <f>B13</f>
        <v>0</v>
      </c>
      <c r="C14" s="7" t="s">
        <v>27</v>
      </c>
      <c r="D14" s="7">
        <f>B14*B120/1000</f>
        <v>0</v>
      </c>
      <c r="E14" s="8" t="s">
        <v>43</v>
      </c>
      <c r="G14" t="s">
        <v>65</v>
      </c>
      <c r="Q14" s="17"/>
      <c r="R14" s="17"/>
      <c r="S14" s="17"/>
      <c r="V14" s="18"/>
      <c r="W14" s="18"/>
      <c r="X14" s="18"/>
    </row>
    <row r="15" spans="1:24" ht="16.5" thickTop="1" thickBot="1" x14ac:dyDescent="0.3">
      <c r="A15" s="6" t="s">
        <v>7</v>
      </c>
      <c r="B15" s="7">
        <f>IF(B14-B10/2 &lt;=0,(-B14+B10/2),0)</f>
        <v>0</v>
      </c>
      <c r="C15" s="7" t="s">
        <v>27</v>
      </c>
      <c r="D15" s="7">
        <f>B15*B120/1000</f>
        <v>0</v>
      </c>
      <c r="E15" s="8" t="s">
        <v>43</v>
      </c>
      <c r="G15" t="s">
        <v>64</v>
      </c>
      <c r="H15" s="4">
        <v>0</v>
      </c>
      <c r="I15" s="4">
        <v>0</v>
      </c>
      <c r="J15" s="4">
        <v>0</v>
      </c>
      <c r="M15" s="16">
        <f t="shared" ref="M15:O16" si="6">H15/1000</f>
        <v>0</v>
      </c>
      <c r="N15" s="16">
        <f t="shared" si="6"/>
        <v>0</v>
      </c>
      <c r="O15" s="16">
        <f t="shared" si="6"/>
        <v>0</v>
      </c>
      <c r="Q15" s="19">
        <f>M15-$D15</f>
        <v>0</v>
      </c>
      <c r="R15" s="19">
        <f>N15-$D15</f>
        <v>0</v>
      </c>
      <c r="S15" s="19">
        <f>O15-$D15</f>
        <v>0</v>
      </c>
      <c r="V15" s="20">
        <v>0</v>
      </c>
      <c r="W15" s="20">
        <v>0</v>
      </c>
      <c r="X15" s="20">
        <v>0</v>
      </c>
    </row>
    <row r="16" spans="1:24" ht="16.5" thickTop="1" thickBot="1" x14ac:dyDescent="0.3">
      <c r="A16" s="6" t="s">
        <v>8</v>
      </c>
      <c r="B16" s="7">
        <f>IF(B15=0,2*(B14-B10/2),0)</f>
        <v>0</v>
      </c>
      <c r="C16" s="7" t="s">
        <v>27</v>
      </c>
      <c r="D16" s="7">
        <f>(B16*B115)/1000</f>
        <v>0</v>
      </c>
      <c r="E16" s="8" t="s">
        <v>43</v>
      </c>
      <c r="G16" t="s">
        <v>66</v>
      </c>
      <c r="H16" s="4">
        <v>0</v>
      </c>
      <c r="I16" s="4">
        <v>0</v>
      </c>
      <c r="J16" s="4">
        <v>0</v>
      </c>
      <c r="M16" s="16">
        <f t="shared" si="6"/>
        <v>0</v>
      </c>
      <c r="N16" s="16">
        <f t="shared" si="6"/>
        <v>0</v>
      </c>
      <c r="O16" s="16">
        <f t="shared" si="6"/>
        <v>0</v>
      </c>
      <c r="Q16" s="19">
        <f>M16-$D16</f>
        <v>0</v>
      </c>
      <c r="R16" s="19">
        <f>N16-$D16</f>
        <v>0</v>
      </c>
      <c r="S16" s="19">
        <f>O16-$D16</f>
        <v>0</v>
      </c>
      <c r="V16" s="20">
        <v>0</v>
      </c>
      <c r="W16" s="20">
        <v>0</v>
      </c>
      <c r="X16" s="20">
        <v>0</v>
      </c>
    </row>
    <row r="17" spans="1:24" ht="15.75" thickTop="1" x14ac:dyDescent="0.25">
      <c r="A17" s="6"/>
      <c r="B17" s="7"/>
      <c r="C17" s="7"/>
      <c r="D17" s="7"/>
      <c r="E17" s="8"/>
      <c r="V17" s="18"/>
      <c r="W17" s="18"/>
      <c r="X17" s="18"/>
    </row>
    <row r="18" spans="1:24" ht="15.75" thickBot="1" x14ac:dyDescent="0.3">
      <c r="A18" s="6" t="s">
        <v>9</v>
      </c>
      <c r="B18" s="7">
        <f>(B20*(B69/2))/(1-B20)</f>
        <v>0</v>
      </c>
      <c r="C18" s="7" t="s">
        <v>27</v>
      </c>
      <c r="D18" s="7"/>
      <c r="E18" s="8"/>
      <c r="V18" s="18"/>
      <c r="W18" s="18"/>
      <c r="X18" s="18"/>
    </row>
    <row r="19" spans="1:24" ht="16.5" thickTop="1" thickBot="1" x14ac:dyDescent="0.3">
      <c r="A19" s="6" t="s">
        <v>10</v>
      </c>
      <c r="B19" s="30">
        <f>1-(B18/B11)</f>
        <v>1</v>
      </c>
      <c r="C19" s="7"/>
      <c r="D19" s="7"/>
      <c r="E19" s="8"/>
      <c r="G19" t="s">
        <v>68</v>
      </c>
      <c r="H19" s="4">
        <v>100</v>
      </c>
      <c r="I19" s="4">
        <v>100</v>
      </c>
      <c r="J19" s="4">
        <v>100</v>
      </c>
      <c r="M19" s="16">
        <f>H19/100</f>
        <v>1</v>
      </c>
      <c r="N19" s="16">
        <f t="shared" ref="N19:O19" si="7">I19/100</f>
        <v>1</v>
      </c>
      <c r="O19" s="16">
        <f t="shared" si="7"/>
        <v>1</v>
      </c>
      <c r="Q19" s="19">
        <f>M19-$B19</f>
        <v>0</v>
      </c>
      <c r="R19" s="19">
        <f>N19-$B19</f>
        <v>0</v>
      </c>
      <c r="S19" s="19">
        <f>O19-$B19</f>
        <v>0</v>
      </c>
      <c r="V19" s="20">
        <f t="shared" ref="V19" si="8">ABS(Q19/M19)</f>
        <v>0</v>
      </c>
      <c r="W19" s="20">
        <f t="shared" ref="W19" si="9">ABS(R19/N19)</f>
        <v>0</v>
      </c>
      <c r="X19" s="20">
        <f t="shared" ref="X19" si="10">ABS(S19/O19)</f>
        <v>0</v>
      </c>
    </row>
    <row r="20" spans="1:24" ht="15.75" thickTop="1" x14ac:dyDescent="0.25">
      <c r="A20" s="6" t="s">
        <v>11</v>
      </c>
      <c r="B20" s="7">
        <f>((B126*EXP((B3*B2*G115/60)/(B122*B123*B124)))^(-1))</f>
        <v>0.77855798957317834</v>
      </c>
      <c r="C20" s="7"/>
      <c r="D20" s="7"/>
      <c r="E20" s="8"/>
      <c r="G20" t="s">
        <v>65</v>
      </c>
      <c r="V20" s="18"/>
      <c r="W20" s="18"/>
      <c r="X20" s="18"/>
    </row>
    <row r="21" spans="1:24" x14ac:dyDescent="0.25">
      <c r="A21" s="6"/>
      <c r="B21" s="7"/>
      <c r="C21" s="7"/>
      <c r="D21" s="7"/>
      <c r="E21" s="8"/>
      <c r="V21" s="18"/>
      <c r="W21" s="18"/>
      <c r="X21" s="18"/>
    </row>
    <row r="22" spans="1:24" x14ac:dyDescent="0.25">
      <c r="A22" s="6" t="s">
        <v>37</v>
      </c>
      <c r="B22" s="7"/>
      <c r="C22" s="7"/>
      <c r="D22" s="7"/>
      <c r="E22" s="8"/>
      <c r="V22" s="18"/>
      <c r="W22" s="18"/>
      <c r="X22" s="18"/>
    </row>
    <row r="23" spans="1:24" x14ac:dyDescent="0.25">
      <c r="A23" s="6" t="s">
        <v>0</v>
      </c>
      <c r="B23" s="24">
        <f>B$2</f>
        <v>5000</v>
      </c>
      <c r="C23" s="7" t="s">
        <v>26</v>
      </c>
      <c r="D23" s="7"/>
      <c r="E23" s="8"/>
      <c r="V23" s="18"/>
      <c r="W23" s="18"/>
      <c r="X23" s="18"/>
    </row>
    <row r="24" spans="1:24" x14ac:dyDescent="0.25">
      <c r="A24" s="6"/>
      <c r="B24" s="7" t="s">
        <v>41</v>
      </c>
      <c r="C24" s="7"/>
      <c r="D24" s="7" t="s">
        <v>42</v>
      </c>
      <c r="E24" s="8"/>
      <c r="V24" s="18"/>
      <c r="W24" s="18"/>
      <c r="X24" s="18"/>
    </row>
    <row r="25" spans="1:24" x14ac:dyDescent="0.25">
      <c r="A25" s="6" t="s">
        <v>3</v>
      </c>
      <c r="B25" s="31">
        <f>B$10</f>
        <v>0</v>
      </c>
      <c r="C25" s="7" t="s">
        <v>27</v>
      </c>
      <c r="D25" s="32">
        <f>B25*B$115/1000</f>
        <v>0</v>
      </c>
      <c r="E25" s="8" t="s">
        <v>43</v>
      </c>
      <c r="G25" t="s">
        <v>70</v>
      </c>
      <c r="V25" s="18"/>
      <c r="W25" s="18"/>
      <c r="X25" s="18"/>
    </row>
    <row r="26" spans="1:24" x14ac:dyDescent="0.25">
      <c r="A26" s="6" t="s">
        <v>38</v>
      </c>
      <c r="B26" s="33">
        <v>0</v>
      </c>
      <c r="C26" s="7" t="s">
        <v>27</v>
      </c>
      <c r="D26" s="33">
        <f>B26*B$116/1000</f>
        <v>0</v>
      </c>
      <c r="E26" s="8" t="s">
        <v>43</v>
      </c>
      <c r="V26" s="18"/>
      <c r="W26" s="18"/>
      <c r="X26" s="18"/>
    </row>
    <row r="27" spans="1:24" x14ac:dyDescent="0.25">
      <c r="A27" s="6" t="s">
        <v>5</v>
      </c>
      <c r="B27" s="33">
        <v>0</v>
      </c>
      <c r="C27" s="7" t="s">
        <v>27</v>
      </c>
      <c r="D27" s="33">
        <f>B27*B$117/1000</f>
        <v>0</v>
      </c>
      <c r="E27" s="8" t="s">
        <v>43</v>
      </c>
      <c r="V27" s="18"/>
      <c r="W27" s="18"/>
      <c r="X27" s="18"/>
    </row>
    <row r="28" spans="1:24" x14ac:dyDescent="0.25">
      <c r="A28" s="6" t="s">
        <v>39</v>
      </c>
      <c r="B28" s="33">
        <v>0</v>
      </c>
      <c r="C28" s="7" t="s">
        <v>27</v>
      </c>
      <c r="D28" s="33">
        <f>B28*B$118/1000</f>
        <v>0</v>
      </c>
      <c r="E28" s="8" t="s">
        <v>43</v>
      </c>
      <c r="V28" s="18"/>
      <c r="W28" s="18"/>
      <c r="X28" s="18"/>
    </row>
    <row r="29" spans="1:24" x14ac:dyDescent="0.25">
      <c r="A29" s="6" t="s">
        <v>2</v>
      </c>
      <c r="B29" s="31">
        <f>B$9</f>
        <v>0</v>
      </c>
      <c r="C29" s="7" t="s">
        <v>27</v>
      </c>
      <c r="D29" s="32">
        <f>B29*B$119/1000</f>
        <v>0</v>
      </c>
      <c r="E29" s="8" t="s">
        <v>43</v>
      </c>
      <c r="G29" t="s">
        <v>69</v>
      </c>
      <c r="V29" s="18"/>
      <c r="W29" s="18"/>
      <c r="X29" s="18"/>
    </row>
    <row r="30" spans="1:24" x14ac:dyDescent="0.25">
      <c r="A30" s="6" t="s">
        <v>47</v>
      </c>
      <c r="B30" s="24">
        <v>0</v>
      </c>
      <c r="C30" s="7" t="s">
        <v>27</v>
      </c>
      <c r="D30" s="33">
        <f>B30*B$120/1000</f>
        <v>0</v>
      </c>
      <c r="E30" s="8" t="s">
        <v>43</v>
      </c>
      <c r="V30" s="18"/>
      <c r="W30" s="18"/>
      <c r="X30" s="18"/>
    </row>
    <row r="31" spans="1:24" x14ac:dyDescent="0.25">
      <c r="A31" s="6" t="s">
        <v>4</v>
      </c>
      <c r="B31" s="7">
        <f>B$11</f>
        <v>17559.210607143861</v>
      </c>
      <c r="C31" s="7" t="s">
        <v>27</v>
      </c>
      <c r="D31" s="34">
        <f>B31*B$121/1000</f>
        <v>316.33409566666671</v>
      </c>
      <c r="E31" s="8" t="s">
        <v>43</v>
      </c>
      <c r="G31" t="s">
        <v>71</v>
      </c>
      <c r="V31" s="18"/>
      <c r="W31" s="18"/>
      <c r="X31" s="18"/>
    </row>
    <row r="32" spans="1:24" x14ac:dyDescent="0.25">
      <c r="A32" s="6"/>
      <c r="B32" s="7"/>
      <c r="C32" s="7"/>
      <c r="D32" s="7"/>
      <c r="E32" s="8"/>
      <c r="V32" s="18"/>
      <c r="W32" s="18"/>
      <c r="X32" s="18"/>
    </row>
    <row r="33" spans="1:24" x14ac:dyDescent="0.25">
      <c r="A33" s="6" t="s">
        <v>40</v>
      </c>
      <c r="B33" s="7"/>
      <c r="C33" s="7"/>
      <c r="D33" s="7"/>
      <c r="E33" s="8"/>
      <c r="V33" s="18"/>
      <c r="W33" s="18"/>
      <c r="X33" s="18"/>
    </row>
    <row r="34" spans="1:24" x14ac:dyDescent="0.25">
      <c r="A34" s="6" t="s">
        <v>0</v>
      </c>
      <c r="B34" s="7">
        <v>0.1</v>
      </c>
      <c r="C34" s="7" t="s">
        <v>26</v>
      </c>
      <c r="D34" s="7"/>
      <c r="E34" s="8"/>
      <c r="G34" t="s">
        <v>72</v>
      </c>
      <c r="V34" s="18"/>
      <c r="W34" s="18"/>
      <c r="X34" s="18"/>
    </row>
    <row r="35" spans="1:24" x14ac:dyDescent="0.25">
      <c r="A35" s="6"/>
      <c r="B35" s="7" t="s">
        <v>41</v>
      </c>
      <c r="C35" s="7"/>
      <c r="D35" s="7" t="s">
        <v>42</v>
      </c>
      <c r="E35" s="8"/>
      <c r="V35" s="18"/>
      <c r="W35" s="18"/>
      <c r="X35" s="18"/>
    </row>
    <row r="36" spans="1:24" x14ac:dyDescent="0.25">
      <c r="A36" s="6" t="s">
        <v>3</v>
      </c>
      <c r="B36" s="35">
        <f>B25/B$23*B$34*60</f>
        <v>0</v>
      </c>
      <c r="C36" s="7" t="s">
        <v>44</v>
      </c>
      <c r="D36" s="32">
        <f>B36*B$115</f>
        <v>0</v>
      </c>
      <c r="E36" s="8" t="s">
        <v>45</v>
      </c>
      <c r="V36" s="18"/>
      <c r="W36" s="18"/>
      <c r="X36" s="18"/>
    </row>
    <row r="37" spans="1:24" x14ac:dyDescent="0.25">
      <c r="A37" s="6" t="s">
        <v>38</v>
      </c>
      <c r="B37" s="24">
        <f>B26/B$23*B$34*60</f>
        <v>0</v>
      </c>
      <c r="C37" s="7" t="s">
        <v>44</v>
      </c>
      <c r="D37" s="33">
        <f>B37*B$116</f>
        <v>0</v>
      </c>
      <c r="E37" s="8" t="s">
        <v>45</v>
      </c>
      <c r="V37" s="18"/>
      <c r="W37" s="18"/>
      <c r="X37" s="18"/>
    </row>
    <row r="38" spans="1:24" x14ac:dyDescent="0.25">
      <c r="A38" s="6" t="s">
        <v>5</v>
      </c>
      <c r="B38" s="24">
        <f>B27/B$23*B$34*60</f>
        <v>0</v>
      </c>
      <c r="C38" s="7" t="s">
        <v>44</v>
      </c>
      <c r="D38" s="33">
        <f>B38*B$117</f>
        <v>0</v>
      </c>
      <c r="E38" s="8" t="s">
        <v>45</v>
      </c>
      <c r="V38" s="18"/>
      <c r="W38" s="18"/>
      <c r="X38" s="18"/>
    </row>
    <row r="39" spans="1:24" x14ac:dyDescent="0.25">
      <c r="A39" s="6" t="s">
        <v>39</v>
      </c>
      <c r="B39" s="24">
        <f>B28/B$23*B$34*60</f>
        <v>0</v>
      </c>
      <c r="C39" s="7" t="s">
        <v>44</v>
      </c>
      <c r="D39" s="33">
        <f>B39*B$118</f>
        <v>0</v>
      </c>
      <c r="E39" s="8" t="s">
        <v>45</v>
      </c>
      <c r="V39" s="18"/>
      <c r="W39" s="18"/>
      <c r="X39" s="18"/>
    </row>
    <row r="40" spans="1:24" x14ac:dyDescent="0.25">
      <c r="A40" s="6" t="s">
        <v>2</v>
      </c>
      <c r="B40" s="35">
        <f>B29/B$23*B$34*60</f>
        <v>0</v>
      </c>
      <c r="C40" s="7" t="s">
        <v>44</v>
      </c>
      <c r="D40" s="32">
        <f>B40*B$119</f>
        <v>0</v>
      </c>
      <c r="E40" s="8" t="s">
        <v>45</v>
      </c>
      <c r="V40" s="18"/>
      <c r="W40" s="18"/>
      <c r="X40" s="18"/>
    </row>
    <row r="41" spans="1:24" x14ac:dyDescent="0.25">
      <c r="A41" s="6" t="s">
        <v>47</v>
      </c>
      <c r="B41" s="24">
        <v>0</v>
      </c>
      <c r="C41" s="7" t="s">
        <v>27</v>
      </c>
      <c r="D41" s="33">
        <f>B41*B$120/1000</f>
        <v>0</v>
      </c>
      <c r="E41" s="8" t="s">
        <v>43</v>
      </c>
      <c r="V41" s="18"/>
      <c r="W41" s="18"/>
      <c r="X41" s="18"/>
    </row>
    <row r="42" spans="1:24" x14ac:dyDescent="0.25">
      <c r="A42" s="6" t="s">
        <v>4</v>
      </c>
      <c r="B42" s="31">
        <f>B31/B$23*B$34*60</f>
        <v>21.071052728572631</v>
      </c>
      <c r="C42" s="7" t="s">
        <v>44</v>
      </c>
      <c r="D42" s="34">
        <f>B42*B$121</f>
        <v>379.60091479999994</v>
      </c>
      <c r="E42" s="8" t="s">
        <v>45</v>
      </c>
      <c r="V42" s="18"/>
      <c r="W42" s="18"/>
      <c r="X42" s="18"/>
    </row>
    <row r="43" spans="1:24" x14ac:dyDescent="0.25">
      <c r="A43" s="6"/>
      <c r="B43" s="7"/>
      <c r="C43" s="7"/>
      <c r="D43" s="7"/>
      <c r="E43" s="8"/>
      <c r="V43" s="18"/>
      <c r="W43" s="18"/>
      <c r="X43" s="18"/>
    </row>
    <row r="44" spans="1:24" x14ac:dyDescent="0.25">
      <c r="A44" s="6" t="s">
        <v>46</v>
      </c>
      <c r="B44" s="7"/>
      <c r="C44" s="7"/>
      <c r="D44" s="7"/>
      <c r="E44" s="8"/>
      <c r="G44" t="s">
        <v>72</v>
      </c>
      <c r="V44" s="18"/>
      <c r="W44" s="18"/>
      <c r="X44" s="18"/>
    </row>
    <row r="45" spans="1:24" x14ac:dyDescent="0.25">
      <c r="A45" s="6" t="s">
        <v>0</v>
      </c>
      <c r="B45" s="24">
        <v>0</v>
      </c>
      <c r="C45" s="7" t="s">
        <v>26</v>
      </c>
      <c r="D45" s="7"/>
      <c r="E45" s="8"/>
      <c r="V45" s="18"/>
      <c r="W45" s="18"/>
      <c r="X45" s="18"/>
    </row>
    <row r="46" spans="1:24" x14ac:dyDescent="0.25">
      <c r="A46" s="6"/>
      <c r="B46" s="7" t="s">
        <v>41</v>
      </c>
      <c r="C46" s="7"/>
      <c r="D46" s="7" t="s">
        <v>42</v>
      </c>
      <c r="E46" s="8"/>
      <c r="V46" s="18"/>
      <c r="W46" s="18"/>
      <c r="X46" s="18"/>
    </row>
    <row r="47" spans="1:24" x14ac:dyDescent="0.25">
      <c r="A47" s="6" t="s">
        <v>3</v>
      </c>
      <c r="B47" s="24">
        <v>0</v>
      </c>
      <c r="C47" s="7" t="s">
        <v>27</v>
      </c>
      <c r="D47" s="33">
        <f>B47*B$115/1000</f>
        <v>0</v>
      </c>
      <c r="E47" s="8" t="s">
        <v>43</v>
      </c>
      <c r="V47" s="18"/>
      <c r="W47" s="18"/>
      <c r="X47" s="18"/>
    </row>
    <row r="48" spans="1:24" x14ac:dyDescent="0.25">
      <c r="A48" s="6" t="s">
        <v>38</v>
      </c>
      <c r="B48" s="33">
        <v>0</v>
      </c>
      <c r="C48" s="7" t="s">
        <v>27</v>
      </c>
      <c r="D48" s="33">
        <f>B48*B$116/1000</f>
        <v>0</v>
      </c>
      <c r="E48" s="8" t="s">
        <v>43</v>
      </c>
      <c r="V48" s="18"/>
      <c r="W48" s="18"/>
      <c r="X48" s="18"/>
    </row>
    <row r="49" spans="1:24" x14ac:dyDescent="0.25">
      <c r="A49" s="6" t="s">
        <v>5</v>
      </c>
      <c r="B49" s="34">
        <f>B13</f>
        <v>0</v>
      </c>
      <c r="C49" s="7" t="s">
        <v>27</v>
      </c>
      <c r="D49" s="34">
        <f>B49*B$117/1000</f>
        <v>0</v>
      </c>
      <c r="E49" s="8" t="s">
        <v>43</v>
      </c>
      <c r="V49" s="18"/>
      <c r="W49" s="18"/>
      <c r="X49" s="18"/>
    </row>
    <row r="50" spans="1:24" x14ac:dyDescent="0.25">
      <c r="A50" s="6" t="s">
        <v>39</v>
      </c>
      <c r="B50" s="33">
        <v>0</v>
      </c>
      <c r="C50" s="7" t="s">
        <v>27</v>
      </c>
      <c r="D50" s="33">
        <f>B50*B$118/1000</f>
        <v>0</v>
      </c>
      <c r="E50" s="8" t="s">
        <v>43</v>
      </c>
      <c r="V50" s="18"/>
      <c r="W50" s="18"/>
      <c r="X50" s="18"/>
    </row>
    <row r="51" spans="1:24" x14ac:dyDescent="0.25">
      <c r="A51" s="6" t="s">
        <v>2</v>
      </c>
      <c r="B51" s="24">
        <v>0</v>
      </c>
      <c r="C51" s="7" t="s">
        <v>27</v>
      </c>
      <c r="D51" s="33">
        <f>B51*B$119/1000</f>
        <v>0</v>
      </c>
      <c r="E51" s="8" t="s">
        <v>43</v>
      </c>
      <c r="V51" s="18"/>
      <c r="W51" s="18"/>
      <c r="X51" s="18"/>
    </row>
    <row r="52" spans="1:24" x14ac:dyDescent="0.25">
      <c r="A52" s="6" t="s">
        <v>47</v>
      </c>
      <c r="B52" s="24">
        <f>B$15</f>
        <v>0</v>
      </c>
      <c r="C52" s="7" t="s">
        <v>27</v>
      </c>
      <c r="D52" s="33">
        <f>B52*B$120/1000</f>
        <v>0</v>
      </c>
      <c r="E52" s="8" t="s">
        <v>43</v>
      </c>
      <c r="V52" s="18"/>
      <c r="W52" s="18"/>
      <c r="X52" s="18"/>
    </row>
    <row r="53" spans="1:24" x14ac:dyDescent="0.25">
      <c r="A53" s="6" t="s">
        <v>4</v>
      </c>
      <c r="B53" s="7">
        <f>B32</f>
        <v>0</v>
      </c>
      <c r="C53" s="7" t="s">
        <v>27</v>
      </c>
      <c r="D53" s="34">
        <f>B53*B$121/1000</f>
        <v>0</v>
      </c>
      <c r="E53" s="8" t="s">
        <v>43</v>
      </c>
      <c r="V53" s="18"/>
      <c r="W53" s="18"/>
      <c r="X53" s="18"/>
    </row>
    <row r="54" spans="1:24" x14ac:dyDescent="0.25">
      <c r="A54" s="6"/>
      <c r="B54" s="7"/>
      <c r="C54" s="7"/>
      <c r="D54" s="7"/>
      <c r="E54" s="8"/>
      <c r="V54" s="18"/>
      <c r="W54" s="18"/>
      <c r="X54" s="18"/>
    </row>
    <row r="55" spans="1:24" x14ac:dyDescent="0.25">
      <c r="A55" s="6" t="s">
        <v>48</v>
      </c>
      <c r="B55" s="7"/>
      <c r="C55" s="7"/>
      <c r="D55" s="7"/>
      <c r="E55" s="8"/>
      <c r="V55" s="18"/>
      <c r="W55" s="18"/>
      <c r="X55" s="18"/>
    </row>
    <row r="56" spans="1:24" x14ac:dyDescent="0.25">
      <c r="A56" s="6" t="s">
        <v>0</v>
      </c>
      <c r="B56" s="24">
        <f>B$2</f>
        <v>5000</v>
      </c>
      <c r="C56" s="7" t="s">
        <v>26</v>
      </c>
      <c r="D56" s="7"/>
      <c r="E56" s="8"/>
      <c r="V56" s="18"/>
      <c r="W56" s="18"/>
      <c r="X56" s="18"/>
    </row>
    <row r="57" spans="1:24" x14ac:dyDescent="0.25">
      <c r="A57" s="6"/>
      <c r="B57" s="7" t="s">
        <v>41</v>
      </c>
      <c r="C57" s="7"/>
      <c r="D57" s="7" t="s">
        <v>42</v>
      </c>
      <c r="E57" s="8"/>
      <c r="V57" s="18"/>
      <c r="W57" s="18"/>
      <c r="X57" s="18"/>
    </row>
    <row r="58" spans="1:24" x14ac:dyDescent="0.25">
      <c r="A58" s="6" t="s">
        <v>3</v>
      </c>
      <c r="B58" s="31">
        <f>B$10</f>
        <v>0</v>
      </c>
      <c r="C58" s="7" t="s">
        <v>27</v>
      </c>
      <c r="D58" s="32">
        <f>B58*B$115/1000</f>
        <v>0</v>
      </c>
      <c r="E58" s="8" t="s">
        <v>43</v>
      </c>
      <c r="G58" t="s">
        <v>70</v>
      </c>
      <c r="V58" s="18"/>
      <c r="W58" s="18"/>
      <c r="X58" s="18"/>
    </row>
    <row r="59" spans="1:24" x14ac:dyDescent="0.25">
      <c r="A59" s="6" t="s">
        <v>38</v>
      </c>
      <c r="B59" s="33">
        <v>0</v>
      </c>
      <c r="C59" s="7" t="s">
        <v>27</v>
      </c>
      <c r="D59" s="33">
        <f>B59*B$116/1000</f>
        <v>0</v>
      </c>
      <c r="E59" s="8" t="s">
        <v>43</v>
      </c>
      <c r="V59" s="18"/>
      <c r="W59" s="18"/>
      <c r="X59" s="18"/>
    </row>
    <row r="60" spans="1:24" x14ac:dyDescent="0.25">
      <c r="A60" s="6" t="s">
        <v>5</v>
      </c>
      <c r="B60" s="34">
        <f>B$49</f>
        <v>0</v>
      </c>
      <c r="C60" s="7" t="s">
        <v>27</v>
      </c>
      <c r="D60" s="34">
        <f>B60*B$117/1000</f>
        <v>0</v>
      </c>
      <c r="E60" s="8" t="s">
        <v>43</v>
      </c>
      <c r="G60" t="s">
        <v>69</v>
      </c>
      <c r="V60" s="18"/>
      <c r="W60" s="18"/>
      <c r="X60" s="18"/>
    </row>
    <row r="61" spans="1:24" x14ac:dyDescent="0.25">
      <c r="A61" s="6" t="s">
        <v>39</v>
      </c>
      <c r="B61" s="33">
        <v>0</v>
      </c>
      <c r="C61" s="7" t="s">
        <v>27</v>
      </c>
      <c r="D61" s="33">
        <f>B61*B$118/1000</f>
        <v>0</v>
      </c>
      <c r="E61" s="8" t="s">
        <v>43</v>
      </c>
      <c r="V61" s="18"/>
      <c r="W61" s="18"/>
      <c r="X61" s="18"/>
    </row>
    <row r="62" spans="1:24" x14ac:dyDescent="0.25">
      <c r="A62" s="6" t="s">
        <v>2</v>
      </c>
      <c r="B62" s="31">
        <f>B$9</f>
        <v>0</v>
      </c>
      <c r="C62" s="7" t="s">
        <v>27</v>
      </c>
      <c r="D62" s="32">
        <f>B62*B$119/1000</f>
        <v>0</v>
      </c>
      <c r="E62" s="8" t="s">
        <v>43</v>
      </c>
      <c r="G62" t="s">
        <v>69</v>
      </c>
      <c r="V62" s="18"/>
      <c r="W62" s="18"/>
      <c r="X62" s="18"/>
    </row>
    <row r="63" spans="1:24" x14ac:dyDescent="0.25">
      <c r="A63" s="6" t="s">
        <v>47</v>
      </c>
      <c r="B63" s="24">
        <f>B52</f>
        <v>0</v>
      </c>
      <c r="C63" s="7" t="s">
        <v>27</v>
      </c>
      <c r="D63" s="33">
        <f>B63*B$120/1000</f>
        <v>0</v>
      </c>
      <c r="E63" s="8" t="s">
        <v>43</v>
      </c>
      <c r="V63" s="18"/>
      <c r="W63" s="18"/>
      <c r="X63" s="18"/>
    </row>
    <row r="64" spans="1:24" x14ac:dyDescent="0.25">
      <c r="A64" s="6" t="s">
        <v>4</v>
      </c>
      <c r="B64" s="36">
        <f>B$11</f>
        <v>17559.210607143861</v>
      </c>
      <c r="C64" s="7" t="s">
        <v>27</v>
      </c>
      <c r="D64" s="34">
        <f>B64*B$121/1000</f>
        <v>316.33409566666671</v>
      </c>
      <c r="E64" s="8" t="s">
        <v>43</v>
      </c>
      <c r="V64" s="18"/>
      <c r="W64" s="18"/>
      <c r="X64" s="18"/>
    </row>
    <row r="65" spans="1:24" x14ac:dyDescent="0.25">
      <c r="A65" s="6"/>
      <c r="B65" s="7"/>
      <c r="C65" s="7"/>
      <c r="D65" s="7"/>
      <c r="E65" s="8"/>
      <c r="V65" s="18"/>
      <c r="W65" s="18"/>
      <c r="X65" s="18"/>
    </row>
    <row r="66" spans="1:24" x14ac:dyDescent="0.25">
      <c r="A66" s="6" t="s">
        <v>49</v>
      </c>
      <c r="B66" s="7"/>
      <c r="C66" s="7"/>
      <c r="D66" s="7"/>
      <c r="E66" s="8"/>
      <c r="V66" s="18"/>
      <c r="W66" s="18"/>
      <c r="X66" s="18"/>
    </row>
    <row r="67" spans="1:24" x14ac:dyDescent="0.25">
      <c r="A67" s="6" t="s">
        <v>0</v>
      </c>
      <c r="B67" s="24">
        <f>B$2</f>
        <v>5000</v>
      </c>
      <c r="C67" s="7" t="s">
        <v>26</v>
      </c>
      <c r="D67" s="7"/>
      <c r="E67" s="8"/>
      <c r="V67" s="18"/>
      <c r="W67" s="18"/>
      <c r="X67" s="18"/>
    </row>
    <row r="68" spans="1:24" ht="15.75" thickBot="1" x14ac:dyDescent="0.3">
      <c r="A68" s="6"/>
      <c r="B68" s="7" t="s">
        <v>41</v>
      </c>
      <c r="C68" s="7"/>
      <c r="D68" s="7" t="s">
        <v>42</v>
      </c>
      <c r="E68" s="8"/>
      <c r="V68" s="18"/>
      <c r="W68" s="18"/>
      <c r="X68" s="18"/>
    </row>
    <row r="69" spans="1:24" ht="16.5" thickTop="1" thickBot="1" x14ac:dyDescent="0.3">
      <c r="A69" s="6" t="s">
        <v>3</v>
      </c>
      <c r="B69" s="37">
        <f>B10+B16</f>
        <v>0</v>
      </c>
      <c r="C69" s="7" t="s">
        <v>27</v>
      </c>
      <c r="D69" s="34">
        <f>(B69*B$115)/1000</f>
        <v>0</v>
      </c>
      <c r="E69" s="8" t="s">
        <v>43</v>
      </c>
      <c r="G69" t="s">
        <v>62</v>
      </c>
      <c r="H69" s="4">
        <v>0</v>
      </c>
      <c r="I69" s="4">
        <v>0</v>
      </c>
      <c r="J69" s="4">
        <v>0</v>
      </c>
      <c r="M69" s="16">
        <f>(((H69/$B$115)*1000*$H$2)  * $B$115 )/1000</f>
        <v>0</v>
      </c>
      <c r="N69" s="16">
        <f>(((I69/$B$115)*1000*$H$2)  * $B$115 )/1000</f>
        <v>0</v>
      </c>
      <c r="O69" s="16">
        <f>(((J69/$B$115)*1000*$H$2)  * $B$115 )/1000</f>
        <v>0</v>
      </c>
      <c r="Q69" s="19">
        <f>M69-$D69</f>
        <v>0</v>
      </c>
      <c r="R69" s="19">
        <f>N69-$D69</f>
        <v>0</v>
      </c>
      <c r="S69" s="19">
        <f>O69-$D69</f>
        <v>0</v>
      </c>
      <c r="V69" s="20">
        <v>0</v>
      </c>
      <c r="W69" s="20">
        <v>0</v>
      </c>
      <c r="X69" s="20">
        <v>0</v>
      </c>
    </row>
    <row r="70" spans="1:24" ht="16.5" thickTop="1" thickBot="1" x14ac:dyDescent="0.3">
      <c r="A70" s="6" t="s">
        <v>38</v>
      </c>
      <c r="B70" s="37">
        <f>(B$58*G$117)</f>
        <v>0</v>
      </c>
      <c r="C70" s="7" t="s">
        <v>27</v>
      </c>
      <c r="D70" s="34">
        <f>B70*B$116/1000</f>
        <v>0</v>
      </c>
      <c r="E70" s="8" t="s">
        <v>43</v>
      </c>
    </row>
    <row r="71" spans="1:24" ht="16.5" thickTop="1" thickBot="1" x14ac:dyDescent="0.3">
      <c r="A71" s="6" t="s">
        <v>5</v>
      </c>
      <c r="B71" s="37">
        <f>B72</f>
        <v>0</v>
      </c>
      <c r="C71" s="7" t="s">
        <v>27</v>
      </c>
      <c r="D71" s="34">
        <f>(B71*B$117)/1000</f>
        <v>0</v>
      </c>
      <c r="E71" s="8" t="s">
        <v>43</v>
      </c>
      <c r="G71" t="s">
        <v>63</v>
      </c>
      <c r="H71" s="4">
        <v>0</v>
      </c>
      <c r="I71" s="4">
        <v>0</v>
      </c>
      <c r="J71" s="4">
        <v>0</v>
      </c>
      <c r="M71" s="16">
        <f>H71/1000</f>
        <v>0</v>
      </c>
      <c r="N71" s="16">
        <f t="shared" ref="N71:O71" si="11">I71/1000</f>
        <v>0</v>
      </c>
      <c r="O71" s="16">
        <f t="shared" si="11"/>
        <v>0</v>
      </c>
      <c r="Q71" s="19">
        <f>M71-$D71</f>
        <v>0</v>
      </c>
      <c r="R71" s="19">
        <f>N71-$D71</f>
        <v>0</v>
      </c>
      <c r="S71" s="19">
        <f>O71-$D71</f>
        <v>0</v>
      </c>
      <c r="V71" s="20">
        <v>0</v>
      </c>
      <c r="W71" s="20">
        <v>0</v>
      </c>
      <c r="X71" s="20">
        <v>0</v>
      </c>
    </row>
    <row r="72" spans="1:24" ht="16.5" thickTop="1" thickBot="1" x14ac:dyDescent="0.3">
      <c r="A72" s="6" t="s">
        <v>39</v>
      </c>
      <c r="B72" s="37">
        <f>(B$62*G$116)</f>
        <v>0</v>
      </c>
      <c r="C72" s="7" t="s">
        <v>27</v>
      </c>
      <c r="D72" s="34">
        <f>B72*B$118/1000</f>
        <v>0</v>
      </c>
      <c r="E72" s="8" t="s">
        <v>43</v>
      </c>
    </row>
    <row r="73" spans="1:24" ht="16.5" thickTop="1" thickBot="1" x14ac:dyDescent="0.3">
      <c r="A73" s="6" t="s">
        <v>2</v>
      </c>
      <c r="B73" s="37">
        <f>B9</f>
        <v>0</v>
      </c>
      <c r="C73" s="7" t="s">
        <v>27</v>
      </c>
      <c r="D73" s="34">
        <f>(B73*B$119)/1000</f>
        <v>0</v>
      </c>
      <c r="E73" s="8" t="s">
        <v>43</v>
      </c>
      <c r="G73" t="s">
        <v>61</v>
      </c>
      <c r="H73" s="4">
        <v>0</v>
      </c>
      <c r="I73" s="4">
        <v>0</v>
      </c>
      <c r="J73" s="4">
        <v>0</v>
      </c>
      <c r="M73" s="16">
        <f>(((H73/$B$119)*1000*$H$2)  * $B$119 )/1000</f>
        <v>0</v>
      </c>
      <c r="N73" s="16">
        <f>(((I73/$B$119)*1000*$H$2)  * $B$119 )/1000</f>
        <v>0</v>
      </c>
      <c r="O73" s="16">
        <f>(((J73/$B$119)*1000*$H$2)  * $B$119 )/1000</f>
        <v>0</v>
      </c>
      <c r="Q73" s="19">
        <f>M73-$D73</f>
        <v>0</v>
      </c>
      <c r="R73" s="19">
        <f>N73-$D73</f>
        <v>0</v>
      </c>
      <c r="S73" s="19">
        <f>O73-$D73</f>
        <v>0</v>
      </c>
      <c r="V73" s="20">
        <v>0</v>
      </c>
      <c r="W73" s="20">
        <v>0</v>
      </c>
      <c r="X73" s="20">
        <v>0</v>
      </c>
    </row>
    <row r="74" spans="1:24" ht="16.5" thickTop="1" thickBot="1" x14ac:dyDescent="0.3">
      <c r="A74" s="6" t="s">
        <v>47</v>
      </c>
      <c r="B74" s="37">
        <f>(B$14+B$15-B$60)</f>
        <v>0</v>
      </c>
      <c r="C74" s="7" t="s">
        <v>27</v>
      </c>
      <c r="D74" s="34">
        <f>B74*B$120/1000</f>
        <v>0</v>
      </c>
      <c r="E74" s="8" t="s">
        <v>43</v>
      </c>
      <c r="V74" s="18"/>
      <c r="W74" s="18"/>
      <c r="X74" s="18"/>
    </row>
    <row r="75" spans="1:24" ht="16.5" thickTop="1" thickBot="1" x14ac:dyDescent="0.3">
      <c r="A75" s="6" t="s">
        <v>4</v>
      </c>
      <c r="B75" s="36">
        <f>B$11</f>
        <v>17559.210607143861</v>
      </c>
      <c r="C75" s="7" t="s">
        <v>27</v>
      </c>
      <c r="D75" s="34">
        <f>B75*B$121/1000</f>
        <v>316.33409566666671</v>
      </c>
      <c r="E75" s="8" t="s">
        <v>43</v>
      </c>
      <c r="G75" t="s">
        <v>73</v>
      </c>
      <c r="H75" s="4">
        <f>1000000-(H73+H69)</f>
        <v>1000000</v>
      </c>
      <c r="I75" s="4">
        <f>1000000-(I73+I69)</f>
        <v>1000000</v>
      </c>
      <c r="J75" s="4">
        <f>1000000-(J73+J69)</f>
        <v>1000000</v>
      </c>
      <c r="M75" s="16">
        <f>(((H75/$B$121)/1000*$H$2)  * $B$121 )/1000</f>
        <v>315.45</v>
      </c>
      <c r="N75" s="16">
        <f>(((I75/$B$121)/1000*$H$2)  * $B$121 )/1000</f>
        <v>315.45</v>
      </c>
      <c r="O75" s="16">
        <f>(((J75/$B$121)/1000*$H$2)  * $B$121 )/1000</f>
        <v>315.45</v>
      </c>
      <c r="Q75" s="19">
        <f>M75-$D75</f>
        <v>-0.8840956666667239</v>
      </c>
      <c r="R75" s="19">
        <f>N75-$D75</f>
        <v>-0.8840956666667239</v>
      </c>
      <c r="S75" s="19">
        <f>O75-$D75</f>
        <v>-0.8840956666667239</v>
      </c>
      <c r="V75" s="20">
        <f t="shared" ref="V75:X75" si="12">ABS(Q75/M75)</f>
        <v>2.8026491255879662E-3</v>
      </c>
      <c r="W75" s="20">
        <f t="shared" si="12"/>
        <v>2.8026491255879662E-3</v>
      </c>
      <c r="X75" s="20">
        <f t="shared" si="12"/>
        <v>2.8026491255879662E-3</v>
      </c>
    </row>
    <row r="76" spans="1:24" ht="15.75" thickTop="1" x14ac:dyDescent="0.25">
      <c r="A76" s="6"/>
      <c r="B76" s="7"/>
      <c r="C76" s="7"/>
      <c r="D76" s="7"/>
      <c r="E76" s="8"/>
      <c r="V76" s="18"/>
      <c r="W76" s="18"/>
      <c r="X76" s="18"/>
    </row>
    <row r="77" spans="1:24" x14ac:dyDescent="0.25">
      <c r="A77" s="6" t="s">
        <v>52</v>
      </c>
      <c r="B77" s="7"/>
      <c r="C77" s="7"/>
      <c r="D77" s="7"/>
      <c r="E77" s="8"/>
      <c r="V77" s="18"/>
      <c r="W77" s="18"/>
      <c r="X77" s="18"/>
    </row>
    <row r="78" spans="1:24" x14ac:dyDescent="0.25">
      <c r="A78" s="6" t="s">
        <v>0</v>
      </c>
      <c r="B78" s="24">
        <f>B$2</f>
        <v>5000</v>
      </c>
      <c r="C78" s="7" t="s">
        <v>26</v>
      </c>
      <c r="D78" s="7"/>
      <c r="E78" s="8"/>
      <c r="V78" s="18"/>
      <c r="W78" s="18"/>
      <c r="X78" s="18"/>
    </row>
    <row r="79" spans="1:24" ht="15.75" thickBot="1" x14ac:dyDescent="0.3">
      <c r="A79" s="6"/>
      <c r="B79" s="7" t="s">
        <v>41</v>
      </c>
      <c r="C79" s="7"/>
      <c r="D79" s="7" t="s">
        <v>42</v>
      </c>
      <c r="E79" s="8"/>
      <c r="V79" s="18"/>
      <c r="W79" s="18"/>
      <c r="X79" s="18"/>
    </row>
    <row r="80" spans="1:24" ht="16.5" thickTop="1" thickBot="1" x14ac:dyDescent="0.3">
      <c r="A80" s="6" t="s">
        <v>3</v>
      </c>
      <c r="B80" s="37">
        <f>(B69)*(1-$G$119)</f>
        <v>0</v>
      </c>
      <c r="C80" s="7" t="s">
        <v>27</v>
      </c>
      <c r="D80" s="38">
        <f>(B80*B$115)/1000</f>
        <v>0</v>
      </c>
      <c r="E80" s="8" t="s">
        <v>43</v>
      </c>
      <c r="G80" t="s">
        <v>96</v>
      </c>
      <c r="H80" s="4">
        <v>0</v>
      </c>
      <c r="I80" s="4">
        <v>0</v>
      </c>
      <c r="J80" s="4">
        <v>0</v>
      </c>
      <c r="M80" s="16">
        <f>(((H80/$B$115)*1000*$H$2)  * $B$115 )/1000</f>
        <v>0</v>
      </c>
      <c r="N80" s="16">
        <f>(((I80/$B$115)*1000*$H$2)  * $B$115 )/1000</f>
        <v>0</v>
      </c>
      <c r="O80" s="16">
        <f>(((J80/$B$115)*1000*$H$2)  * $B$115 )/1000</f>
        <v>0</v>
      </c>
      <c r="Q80" s="19">
        <f>M80-$D80</f>
        <v>0</v>
      </c>
      <c r="R80" s="19">
        <f>N80-$D80</f>
        <v>0</v>
      </c>
      <c r="S80" s="19">
        <f>O80-$D80</f>
        <v>0</v>
      </c>
      <c r="V80" s="20">
        <v>0</v>
      </c>
      <c r="W80" s="20">
        <v>0</v>
      </c>
      <c r="X80" s="20">
        <v>0</v>
      </c>
    </row>
    <row r="81" spans="1:24" ht="15.75" thickTop="1" x14ac:dyDescent="0.25">
      <c r="A81" s="6" t="s">
        <v>38</v>
      </c>
      <c r="B81" s="37">
        <f>(B70)*(1-$G$119)</f>
        <v>0</v>
      </c>
      <c r="C81" s="7" t="s">
        <v>27</v>
      </c>
      <c r="D81" s="38">
        <f>B81*B$116/1000</f>
        <v>0</v>
      </c>
      <c r="E81" s="8" t="s">
        <v>43</v>
      </c>
      <c r="G81" t="s">
        <v>74</v>
      </c>
    </row>
    <row r="82" spans="1:24" x14ac:dyDescent="0.25">
      <c r="A82" s="6" t="s">
        <v>5</v>
      </c>
      <c r="B82" s="37">
        <f>(B71)*(1-$G$118)</f>
        <v>0</v>
      </c>
      <c r="C82" s="7" t="s">
        <v>27</v>
      </c>
      <c r="D82" s="38">
        <f>(B82*B$117)/1000</f>
        <v>0</v>
      </c>
      <c r="E82" s="8" t="s">
        <v>43</v>
      </c>
      <c r="G82" t="s">
        <v>75</v>
      </c>
      <c r="V82" s="18"/>
      <c r="W82" s="18"/>
      <c r="X82" s="18"/>
    </row>
    <row r="83" spans="1:24" ht="15.75" thickBot="1" x14ac:dyDescent="0.3">
      <c r="A83" s="6" t="s">
        <v>39</v>
      </c>
      <c r="B83" s="37">
        <f>(B72)*(1-$G$118)</f>
        <v>0</v>
      </c>
      <c r="C83" s="7" t="s">
        <v>27</v>
      </c>
      <c r="D83" s="38">
        <f>B83*B$118/1000</f>
        <v>0</v>
      </c>
      <c r="E83" s="8" t="s">
        <v>43</v>
      </c>
      <c r="G83" t="s">
        <v>76</v>
      </c>
      <c r="V83" s="18"/>
      <c r="W83" s="18"/>
      <c r="X83" s="18"/>
    </row>
    <row r="84" spans="1:24" ht="16.5" thickTop="1" thickBot="1" x14ac:dyDescent="0.3">
      <c r="A84" s="6" t="s">
        <v>2</v>
      </c>
      <c r="B84" s="37">
        <f>(B73)*(1-$G$118)</f>
        <v>0</v>
      </c>
      <c r="C84" s="7" t="s">
        <v>27</v>
      </c>
      <c r="D84" s="38">
        <f>(B84*B$119)/1000</f>
        <v>0</v>
      </c>
      <c r="E84" s="8" t="s">
        <v>43</v>
      </c>
      <c r="G84" t="s">
        <v>78</v>
      </c>
      <c r="H84" s="4">
        <v>0</v>
      </c>
      <c r="I84" s="4">
        <v>0</v>
      </c>
      <c r="J84" s="4">
        <v>0</v>
      </c>
      <c r="M84" s="16">
        <f>(((H84/$B$119)*1000*$H$2)  * $B$119 )/1000</f>
        <v>0</v>
      </c>
      <c r="N84" s="16">
        <f>(((I84/$B$119)*1000*$H$2)  * $B$119 )/1000</f>
        <v>0</v>
      </c>
      <c r="O84" s="16">
        <f>(((J84/$B$119)*1000*$H$2)  * $B$119 )/1000</f>
        <v>0</v>
      </c>
      <c r="Q84" s="19">
        <f>M84-$D84</f>
        <v>0</v>
      </c>
      <c r="R84" s="19">
        <f>N84-$D84</f>
        <v>0</v>
      </c>
      <c r="S84" s="19">
        <f>O84-$D84</f>
        <v>0</v>
      </c>
      <c r="V84" s="20">
        <v>0</v>
      </c>
      <c r="W84" s="20">
        <v>0</v>
      </c>
      <c r="X84" s="20">
        <v>0</v>
      </c>
    </row>
    <row r="85" spans="1:24" ht="16.5" thickTop="1" thickBot="1" x14ac:dyDescent="0.3">
      <c r="A85" s="6" t="s">
        <v>47</v>
      </c>
      <c r="B85" s="37">
        <f>(B74)*(1-$G$118)</f>
        <v>0</v>
      </c>
      <c r="C85" s="7" t="s">
        <v>27</v>
      </c>
      <c r="D85" s="38">
        <f>B85*B$120/1000</f>
        <v>0</v>
      </c>
      <c r="E85" s="8" t="s">
        <v>43</v>
      </c>
      <c r="G85" t="s">
        <v>77</v>
      </c>
      <c r="V85" s="18"/>
      <c r="W85" s="18"/>
      <c r="X85" s="18"/>
    </row>
    <row r="86" spans="1:24" ht="16.5" thickTop="1" thickBot="1" x14ac:dyDescent="0.3">
      <c r="A86" s="6" t="s">
        <v>4</v>
      </c>
      <c r="B86" s="36">
        <f>B$11</f>
        <v>17559.210607143861</v>
      </c>
      <c r="C86" s="7" t="s">
        <v>27</v>
      </c>
      <c r="D86" s="34">
        <f>B86*B$121/1000</f>
        <v>316.33409566666671</v>
      </c>
      <c r="E86" s="8" t="s">
        <v>43</v>
      </c>
      <c r="G86" t="s">
        <v>73</v>
      </c>
      <c r="H86" s="4">
        <f>1000000-(H84+H81)</f>
        <v>1000000</v>
      </c>
      <c r="I86" s="4">
        <f>1000000-(I84+I81)</f>
        <v>1000000</v>
      </c>
      <c r="J86" s="4">
        <f t="shared" ref="J86" si="13">1000000-(J84+J81)</f>
        <v>1000000</v>
      </c>
      <c r="M86" s="16">
        <f>(((H86/$B$121)/1000*$H$2)  * $B$121 )/1000</f>
        <v>315.45</v>
      </c>
      <c r="N86" s="16">
        <f>(((I86/$B$121)/1000*$H$2)  * $B$121 )/1000</f>
        <v>315.45</v>
      </c>
      <c r="O86" s="16">
        <f>(((J86/$B$121)/1000*$H$2)  * $B$121 )/1000</f>
        <v>315.45</v>
      </c>
      <c r="Q86" s="19">
        <f>M86-$D86</f>
        <v>-0.8840956666667239</v>
      </c>
      <c r="R86" s="19">
        <f>N86-$D86</f>
        <v>-0.8840956666667239</v>
      </c>
      <c r="S86" s="19">
        <f>O86-$D86</f>
        <v>-0.8840956666667239</v>
      </c>
      <c r="V86" s="20">
        <f t="shared" ref="V86:X86" si="14">ABS(Q86/M86)</f>
        <v>2.8026491255879662E-3</v>
      </c>
      <c r="W86" s="20">
        <f t="shared" si="14"/>
        <v>2.8026491255879662E-3</v>
      </c>
      <c r="X86" s="20">
        <f t="shared" si="14"/>
        <v>2.8026491255879662E-3</v>
      </c>
    </row>
    <row r="87" spans="1:24" ht="15.75" thickTop="1" x14ac:dyDescent="0.25">
      <c r="A87" s="6"/>
      <c r="B87" s="7"/>
      <c r="C87" s="7"/>
      <c r="D87" s="7"/>
      <c r="E87" s="8"/>
      <c r="V87" s="18"/>
      <c r="W87" s="18"/>
      <c r="X87" s="18"/>
    </row>
    <row r="88" spans="1:24" x14ac:dyDescent="0.25">
      <c r="A88" s="6" t="s">
        <v>53</v>
      </c>
      <c r="B88" s="7"/>
      <c r="C88" s="7"/>
      <c r="D88" s="7"/>
      <c r="E88" s="8"/>
      <c r="V88" s="18"/>
      <c r="W88" s="18"/>
      <c r="X88" s="18"/>
    </row>
    <row r="89" spans="1:24" x14ac:dyDescent="0.25">
      <c r="A89" s="6" t="s">
        <v>0</v>
      </c>
      <c r="B89" s="24">
        <f>B$2</f>
        <v>5000</v>
      </c>
      <c r="C89" s="7" t="s">
        <v>26</v>
      </c>
      <c r="D89" s="7"/>
      <c r="E89" s="8"/>
      <c r="V89" s="18"/>
      <c r="W89" s="18"/>
      <c r="X89" s="18"/>
    </row>
    <row r="90" spans="1:24" ht="15.75" thickBot="1" x14ac:dyDescent="0.3">
      <c r="A90" s="6"/>
      <c r="B90" s="7" t="s">
        <v>41</v>
      </c>
      <c r="C90" s="7"/>
      <c r="D90" s="7" t="s">
        <v>42</v>
      </c>
      <c r="E90" s="8"/>
      <c r="V90" s="18"/>
      <c r="W90" s="18"/>
      <c r="X90" s="18"/>
    </row>
    <row r="91" spans="1:24" ht="16.5" thickTop="1" thickBot="1" x14ac:dyDescent="0.3">
      <c r="A91" s="6" t="s">
        <v>3</v>
      </c>
      <c r="B91" s="37">
        <f>(B80)*(1-$G$121)</f>
        <v>0</v>
      </c>
      <c r="C91" s="7" t="s">
        <v>27</v>
      </c>
      <c r="D91" s="39">
        <f>(B91*B$115)/1000</f>
        <v>0</v>
      </c>
      <c r="E91" s="8" t="s">
        <v>43</v>
      </c>
      <c r="G91" t="s">
        <v>84</v>
      </c>
      <c r="H91" s="4">
        <v>0</v>
      </c>
      <c r="I91" s="4">
        <v>0</v>
      </c>
      <c r="J91" s="4">
        <v>0</v>
      </c>
      <c r="M91" s="16">
        <f>(((H91/$B$115)*1000*$H$2)  * $B$115 )/1000</f>
        <v>0</v>
      </c>
      <c r="N91" s="16">
        <f>(((I91/$B$115)*1000*$H$2)  * $B$115 )/1000</f>
        <v>0</v>
      </c>
      <c r="O91" s="16">
        <f>(((J91/$B$115)*1000*$H$2)  * $B$115 )/1000</f>
        <v>0</v>
      </c>
      <c r="Q91" s="19">
        <f>M91-$D91</f>
        <v>0</v>
      </c>
      <c r="R91" s="19">
        <f>N91-$D91</f>
        <v>0</v>
      </c>
      <c r="S91" s="19">
        <f>O91-$D91</f>
        <v>0</v>
      </c>
      <c r="V91" s="20">
        <v>0</v>
      </c>
      <c r="W91" s="20">
        <v>0</v>
      </c>
      <c r="X91" s="20">
        <v>0</v>
      </c>
    </row>
    <row r="92" spans="1:24" ht="15.75" thickTop="1" x14ac:dyDescent="0.25">
      <c r="A92" s="6" t="s">
        <v>38</v>
      </c>
      <c r="B92" s="37">
        <f>(B81)*(1-$G$121)</f>
        <v>0</v>
      </c>
      <c r="C92" s="7" t="s">
        <v>27</v>
      </c>
      <c r="D92" s="39">
        <f>B92*B$116/1000</f>
        <v>0</v>
      </c>
      <c r="E92" s="8" t="s">
        <v>43</v>
      </c>
      <c r="G92" t="s">
        <v>79</v>
      </c>
      <c r="V92" s="18"/>
      <c r="W92" s="18"/>
      <c r="X92" s="18"/>
    </row>
    <row r="93" spans="1:24" x14ac:dyDescent="0.25">
      <c r="A93" s="6" t="s">
        <v>5</v>
      </c>
      <c r="B93" s="37">
        <f>(B82)*(1-$G$120)</f>
        <v>0</v>
      </c>
      <c r="C93" s="7" t="s">
        <v>27</v>
      </c>
      <c r="D93" s="39">
        <f>(B93*B$117)/1000</f>
        <v>0</v>
      </c>
      <c r="E93" s="8" t="s">
        <v>43</v>
      </c>
      <c r="G93" t="s">
        <v>80</v>
      </c>
      <c r="V93" s="18"/>
      <c r="W93" s="18"/>
      <c r="X93" s="18"/>
    </row>
    <row r="94" spans="1:24" ht="15.75" thickBot="1" x14ac:dyDescent="0.3">
      <c r="A94" s="6" t="s">
        <v>39</v>
      </c>
      <c r="B94" s="37">
        <f>(B83)*(1-$G$120)</f>
        <v>0</v>
      </c>
      <c r="C94" s="7" t="s">
        <v>27</v>
      </c>
      <c r="D94" s="39">
        <f>B94*B$118/1000</f>
        <v>0</v>
      </c>
      <c r="E94" s="8" t="s">
        <v>43</v>
      </c>
      <c r="G94" t="s">
        <v>81</v>
      </c>
      <c r="V94" s="18"/>
      <c r="W94" s="18"/>
      <c r="X94" s="18"/>
    </row>
    <row r="95" spans="1:24" ht="16.5" thickTop="1" thickBot="1" x14ac:dyDescent="0.3">
      <c r="A95" s="6" t="s">
        <v>2</v>
      </c>
      <c r="B95" s="37">
        <f>(B84)*(1-$G$120)</f>
        <v>0</v>
      </c>
      <c r="C95" s="7" t="s">
        <v>27</v>
      </c>
      <c r="D95" s="39">
        <f>(B95*B$119)/1000</f>
        <v>0</v>
      </c>
      <c r="E95" s="8" t="s">
        <v>43</v>
      </c>
      <c r="G95" t="s">
        <v>83</v>
      </c>
      <c r="H95" s="4">
        <v>0</v>
      </c>
      <c r="I95" s="4">
        <v>0</v>
      </c>
      <c r="J95" s="4">
        <v>0</v>
      </c>
      <c r="M95" s="16">
        <f>(((H95/$B$119)*1000*$H$2)  * $B$119 )/1000</f>
        <v>0</v>
      </c>
      <c r="N95" s="16">
        <f>(((I95/$B$119)*1000*$H$2)  * $B$119 )/1000</f>
        <v>0</v>
      </c>
      <c r="O95" s="16">
        <f>(((J95/$B$119)*1000*$H$2)  * $B$119 )/1000</f>
        <v>0</v>
      </c>
      <c r="Q95" s="19">
        <f>M95-$D95</f>
        <v>0</v>
      </c>
      <c r="R95" s="19">
        <f>N95-$D95</f>
        <v>0</v>
      </c>
      <c r="S95" s="19">
        <f>O95-$D95</f>
        <v>0</v>
      </c>
      <c r="V95" s="20">
        <v>0</v>
      </c>
      <c r="W95" s="20">
        <v>0</v>
      </c>
      <c r="X95" s="20">
        <v>0</v>
      </c>
    </row>
    <row r="96" spans="1:24" ht="16.5" thickTop="1" thickBot="1" x14ac:dyDescent="0.3">
      <c r="A96" s="6" t="s">
        <v>47</v>
      </c>
      <c r="B96" s="37">
        <f>(B85)*(1-$G$120)</f>
        <v>0</v>
      </c>
      <c r="C96" s="7" t="s">
        <v>27</v>
      </c>
      <c r="D96" s="39">
        <f>B96*B$120/1000</f>
        <v>0</v>
      </c>
      <c r="E96" s="8" t="s">
        <v>43</v>
      </c>
      <c r="G96" t="s">
        <v>82</v>
      </c>
      <c r="V96" s="18"/>
      <c r="W96" s="18"/>
      <c r="X96" s="18"/>
    </row>
    <row r="97" spans="1:24" ht="16.5" thickTop="1" thickBot="1" x14ac:dyDescent="0.3">
      <c r="A97" s="23" t="s">
        <v>4</v>
      </c>
      <c r="B97" s="40">
        <f>B$11</f>
        <v>17559.210607143861</v>
      </c>
      <c r="C97" s="11" t="s">
        <v>27</v>
      </c>
      <c r="D97" s="41">
        <f>B97*B$121/1000</f>
        <v>316.33409566666671</v>
      </c>
      <c r="E97" s="12" t="s">
        <v>43</v>
      </c>
      <c r="G97" t="s">
        <v>67</v>
      </c>
      <c r="H97" s="4">
        <v>999999.99999617098</v>
      </c>
      <c r="I97" s="4">
        <v>999999.99999618495</v>
      </c>
      <c r="J97" s="4">
        <v>999999.99999618297</v>
      </c>
      <c r="M97" s="16">
        <f>(((H97/$B$121)/1000*$H$2)  * $B$121 )/1000</f>
        <v>315.44999999879212</v>
      </c>
      <c r="N97" s="16">
        <f>(((I97/$B$121)/1000*$H$2)  * $B$121 )/1000</f>
        <v>315.4499999987965</v>
      </c>
      <c r="O97" s="16">
        <f>(((J97/$B$121)/1000*$H$2)  * $B$121 )/1000</f>
        <v>315.44999999879587</v>
      </c>
      <c r="Q97" s="19">
        <f>M97-$D97</f>
        <v>-0.88409566787458971</v>
      </c>
      <c r="R97" s="19">
        <f>N97-$D97</f>
        <v>-0.88409566787021276</v>
      </c>
      <c r="S97" s="19">
        <f>O97-$D97</f>
        <v>-0.88409566787083804</v>
      </c>
      <c r="V97" s="20">
        <f t="shared" ref="V97:X97" si="15">ABS(Q97/M97)</f>
        <v>2.8026491294277224E-3</v>
      </c>
      <c r="W97" s="20">
        <f t="shared" si="15"/>
        <v>2.8026491294138082E-3</v>
      </c>
      <c r="X97" s="20">
        <f t="shared" si="15"/>
        <v>2.8026491294157957E-3</v>
      </c>
    </row>
    <row r="98" spans="1:24" x14ac:dyDescent="0.25">
      <c r="U98" t="s">
        <v>93</v>
      </c>
      <c r="V98" s="18">
        <f>MIN(V2:V97)</f>
        <v>0</v>
      </c>
      <c r="W98" s="18">
        <f t="shared" ref="W98:X98" si="16">MIN(W2:W97)</f>
        <v>0</v>
      </c>
      <c r="X98" s="18">
        <f t="shared" si="16"/>
        <v>0</v>
      </c>
    </row>
    <row r="99" spans="1:24" x14ac:dyDescent="0.25">
      <c r="U99" t="s">
        <v>94</v>
      </c>
      <c r="V99" s="18">
        <f>AVERAGE(V2:V97)</f>
        <v>5.6066191174694113E-4</v>
      </c>
      <c r="W99" s="18">
        <f t="shared" ref="W99:X99" si="17">AVERAGE(W2:W97)</f>
        <v>5.606619117462454E-4</v>
      </c>
      <c r="X99" s="18">
        <f t="shared" si="17"/>
        <v>5.6066191174634471E-4</v>
      </c>
    </row>
    <row r="100" spans="1:24" x14ac:dyDescent="0.25">
      <c r="U100" t="s">
        <v>95</v>
      </c>
      <c r="V100" s="18">
        <f>MAX(V2:V97)</f>
        <v>2.8026491294277224E-3</v>
      </c>
      <c r="W100" s="18">
        <f t="shared" ref="W100:X100" si="18">MAX(W2:W97)</f>
        <v>2.8026491294138082E-3</v>
      </c>
      <c r="X100" s="18">
        <f t="shared" si="18"/>
        <v>2.8026491294157957E-3</v>
      </c>
    </row>
    <row r="112" spans="1:24" ht="15.75" thickBot="1" x14ac:dyDescent="0.3"/>
    <row r="113" spans="1:7" ht="15.75" thickBot="1" x14ac:dyDescent="0.3">
      <c r="A113" s="43" t="s">
        <v>98</v>
      </c>
      <c r="B113" s="44"/>
      <c r="C113" s="44"/>
      <c r="D113" s="44"/>
      <c r="E113" s="44"/>
      <c r="F113" s="44"/>
      <c r="G113" s="45"/>
    </row>
    <row r="114" spans="1:7" x14ac:dyDescent="0.25">
      <c r="A114" s="5" t="s">
        <v>12</v>
      </c>
      <c r="B114" s="42" t="s">
        <v>13</v>
      </c>
      <c r="C114" s="42"/>
      <c r="D114" s="21">
        <v>1</v>
      </c>
      <c r="E114" s="21" t="s">
        <v>23</v>
      </c>
      <c r="F114" s="21" t="s">
        <v>24</v>
      </c>
      <c r="G114" s="22">
        <f>1/1000</f>
        <v>1E-3</v>
      </c>
    </row>
    <row r="115" spans="1:7" x14ac:dyDescent="0.25">
      <c r="A115" s="6" t="s">
        <v>14</v>
      </c>
      <c r="B115" s="7">
        <v>17.030999999999999</v>
      </c>
      <c r="C115" s="7" t="s">
        <v>21</v>
      </c>
      <c r="D115" s="7">
        <v>1</v>
      </c>
      <c r="E115" s="7" t="s">
        <v>26</v>
      </c>
      <c r="F115" s="7" t="s">
        <v>24</v>
      </c>
      <c r="G115" s="8">
        <v>3.7854100000000002</v>
      </c>
    </row>
    <row r="116" spans="1:7" x14ac:dyDescent="0.25">
      <c r="A116" s="6" t="s">
        <v>17</v>
      </c>
      <c r="B116" s="7">
        <v>132.13999999999999</v>
      </c>
      <c r="C116" s="7" t="s">
        <v>21</v>
      </c>
      <c r="D116" s="7">
        <v>1</v>
      </c>
      <c r="E116" s="7" t="s">
        <v>50</v>
      </c>
      <c r="F116" s="7" t="s">
        <v>24</v>
      </c>
      <c r="G116" s="8">
        <v>0.99999899999999997</v>
      </c>
    </row>
    <row r="117" spans="1:7" x14ac:dyDescent="0.25">
      <c r="A117" s="6" t="s">
        <v>15</v>
      </c>
      <c r="B117" s="7">
        <v>159.60900000000001</v>
      </c>
      <c r="C117" s="7" t="s">
        <v>21</v>
      </c>
      <c r="D117" s="7">
        <v>1</v>
      </c>
      <c r="E117" s="7" t="s">
        <v>51</v>
      </c>
      <c r="F117" s="7" t="s">
        <v>24</v>
      </c>
      <c r="G117" s="8">
        <f>G116/2</f>
        <v>0.49999949999999999</v>
      </c>
    </row>
    <row r="118" spans="1:7" x14ac:dyDescent="0.25">
      <c r="A118" s="6" t="s">
        <v>16</v>
      </c>
      <c r="B118" s="7">
        <v>95.611000000000004</v>
      </c>
      <c r="C118" s="7" t="s">
        <v>21</v>
      </c>
      <c r="D118" s="7"/>
      <c r="E118" s="7" t="s">
        <v>88</v>
      </c>
      <c r="F118" s="7" t="s">
        <v>24</v>
      </c>
      <c r="G118" s="8">
        <v>0.999</v>
      </c>
    </row>
    <row r="119" spans="1:7" x14ac:dyDescent="0.25">
      <c r="A119" s="6" t="s">
        <v>18</v>
      </c>
      <c r="B119" s="7">
        <v>34.0809</v>
      </c>
      <c r="C119" s="7" t="s">
        <v>21</v>
      </c>
      <c r="D119" s="7"/>
      <c r="E119" s="7" t="s">
        <v>87</v>
      </c>
      <c r="F119" s="7" t="s">
        <v>24</v>
      </c>
      <c r="G119" s="8">
        <v>0.99990000000000001</v>
      </c>
    </row>
    <row r="120" spans="1:7" x14ac:dyDescent="0.25">
      <c r="A120" s="6" t="s">
        <v>19</v>
      </c>
      <c r="B120" s="7">
        <v>98.078999999999994</v>
      </c>
      <c r="C120" s="7" t="s">
        <v>21</v>
      </c>
      <c r="D120" s="7"/>
      <c r="E120" s="7" t="s">
        <v>89</v>
      </c>
      <c r="F120" s="7" t="s">
        <v>24</v>
      </c>
      <c r="G120" s="8">
        <v>0.999</v>
      </c>
    </row>
    <row r="121" spans="1:7" x14ac:dyDescent="0.25">
      <c r="A121" s="6" t="s">
        <v>20</v>
      </c>
      <c r="B121" s="7">
        <v>18.015280000000001</v>
      </c>
      <c r="C121" s="7" t="s">
        <v>21</v>
      </c>
      <c r="D121" s="7"/>
      <c r="E121" s="7" t="s">
        <v>90</v>
      </c>
      <c r="F121" s="7" t="s">
        <v>24</v>
      </c>
      <c r="G121" s="8">
        <v>0.99990000000000001</v>
      </c>
    </row>
    <row r="122" spans="1:7" x14ac:dyDescent="0.25">
      <c r="A122" s="10" t="s">
        <v>30</v>
      </c>
      <c r="B122" s="7">
        <f>B11</f>
        <v>17559.210607143861</v>
      </c>
      <c r="C122" s="7" t="s">
        <v>33</v>
      </c>
      <c r="D122" s="7"/>
      <c r="E122" s="7"/>
      <c r="F122" s="7"/>
      <c r="G122" s="8"/>
    </row>
    <row r="123" spans="1:7" x14ac:dyDescent="0.25">
      <c r="A123" s="10" t="s">
        <v>31</v>
      </c>
      <c r="B123" s="7">
        <v>8.3144620000000007</v>
      </c>
      <c r="C123" s="7" t="s">
        <v>36</v>
      </c>
      <c r="D123" s="7"/>
      <c r="E123" s="7"/>
      <c r="F123" s="7"/>
      <c r="G123" s="8"/>
    </row>
    <row r="124" spans="1:7" x14ac:dyDescent="0.25">
      <c r="A124" s="10" t="s">
        <v>32</v>
      </c>
      <c r="B124" s="7">
        <v>290</v>
      </c>
      <c r="C124" s="7" t="s">
        <v>34</v>
      </c>
      <c r="D124" s="7"/>
      <c r="E124" s="7"/>
      <c r="F124" s="7"/>
      <c r="G124" s="8"/>
    </row>
    <row r="125" spans="1:7" x14ac:dyDescent="0.25">
      <c r="A125" s="6" t="s">
        <v>28</v>
      </c>
      <c r="B125" s="7">
        <v>1002.8</v>
      </c>
      <c r="C125" s="7" t="s">
        <v>25</v>
      </c>
      <c r="D125" s="7"/>
      <c r="E125" s="7"/>
      <c r="F125" s="7"/>
      <c r="G125" s="8"/>
    </row>
    <row r="126" spans="1:7" ht="15.75" thickBot="1" x14ac:dyDescent="0.3">
      <c r="A126" s="23" t="s">
        <v>54</v>
      </c>
      <c r="B126" s="11">
        <v>0.8</v>
      </c>
      <c r="C126" s="11"/>
      <c r="D126" s="11"/>
      <c r="E126" s="11"/>
      <c r="F126" s="11"/>
      <c r="G126" s="12"/>
    </row>
  </sheetData>
  <mergeCells count="6">
    <mergeCell ref="A1:C1"/>
    <mergeCell ref="A8:E8"/>
    <mergeCell ref="A113:G113"/>
    <mergeCell ref="M1:O1"/>
    <mergeCell ref="Q1:S1"/>
    <mergeCell ref="V1:X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6"/>
  <sheetViews>
    <sheetView tabSelected="1" workbookViewId="0">
      <selection activeCell="G21" sqref="G21"/>
    </sheetView>
  </sheetViews>
  <sheetFormatPr defaultRowHeight="15" x14ac:dyDescent="0.25"/>
  <cols>
    <col min="1" max="1" width="34.28515625" bestFit="1" customWidth="1"/>
    <col min="2" max="2" width="14.5703125" bestFit="1" customWidth="1"/>
    <col min="3" max="5" width="9.5703125" customWidth="1"/>
    <col min="6" max="6" width="18.42578125" bestFit="1" customWidth="1"/>
    <col min="7" max="7" width="45.7109375" bestFit="1" customWidth="1"/>
    <col min="8" max="8" width="15.28515625" bestFit="1" customWidth="1"/>
    <col min="9" max="9" width="15.140625" bestFit="1" customWidth="1"/>
    <col min="10" max="10" width="16.42578125" bestFit="1" customWidth="1"/>
    <col min="11" max="12" width="9.5703125" customWidth="1"/>
    <col min="13" max="15" width="12" bestFit="1" customWidth="1"/>
    <col min="16" max="18" width="9.5703125" customWidth="1"/>
    <col min="19" max="19" width="20.5703125" customWidth="1"/>
    <col min="22" max="24" width="11.140625" bestFit="1" customWidth="1"/>
    <col min="25" max="25" width="7.140625" customWidth="1"/>
    <col min="26" max="26" width="7.5703125" customWidth="1"/>
    <col min="27" max="27" width="5.42578125" customWidth="1"/>
  </cols>
  <sheetData>
    <row r="1" spans="1:25" ht="15.75" thickBot="1" x14ac:dyDescent="0.3">
      <c r="A1" s="27" t="s">
        <v>99</v>
      </c>
      <c r="B1" s="28"/>
      <c r="C1" s="29"/>
      <c r="G1" s="3" t="s">
        <v>60</v>
      </c>
      <c r="H1" s="3" t="s">
        <v>55</v>
      </c>
      <c r="I1" s="3" t="s">
        <v>56</v>
      </c>
      <c r="J1" s="3" t="s">
        <v>57</v>
      </c>
      <c r="K1" s="2"/>
      <c r="L1" s="2"/>
      <c r="M1" s="47" t="s">
        <v>85</v>
      </c>
      <c r="N1" s="47"/>
      <c r="O1" s="47"/>
      <c r="P1" s="14"/>
      <c r="Q1" s="49" t="s">
        <v>91</v>
      </c>
      <c r="R1" s="49"/>
      <c r="S1" s="49"/>
      <c r="V1" s="13" t="s">
        <v>92</v>
      </c>
      <c r="W1" s="13"/>
      <c r="X1" s="13"/>
    </row>
    <row r="2" spans="1:25" ht="16.5" thickTop="1" thickBot="1" x14ac:dyDescent="0.3">
      <c r="A2" s="6" t="s">
        <v>0</v>
      </c>
      <c r="B2" s="25">
        <v>5000</v>
      </c>
      <c r="C2" s="8" t="s">
        <v>22</v>
      </c>
      <c r="G2" s="15" t="s">
        <v>59</v>
      </c>
      <c r="H2" s="4">
        <v>315.45</v>
      </c>
      <c r="I2" s="4">
        <v>315.45</v>
      </c>
      <c r="J2" s="4">
        <v>315.45</v>
      </c>
      <c r="M2" s="16">
        <f>(H2/$G$115)*60</f>
        <v>4999.9867913911567</v>
      </c>
      <c r="N2" s="16">
        <f>(I2/$G$115)*60</f>
        <v>4999.9867913911567</v>
      </c>
      <c r="O2" s="16">
        <f>(J2/$G$115)*60</f>
        <v>4999.9867913911567</v>
      </c>
      <c r="Q2" s="19">
        <f>M2-$B2</f>
        <v>-1.3208608843342518E-2</v>
      </c>
      <c r="R2" s="19">
        <f>N2-$B2</f>
        <v>-1.3208608843342518E-2</v>
      </c>
      <c r="S2" s="19">
        <f>O2-$B2</f>
        <v>-1.3208608843342518E-2</v>
      </c>
      <c r="V2" s="20">
        <f t="shared" ref="V2" si="0">ABS(Q2/M2)</f>
        <v>2.6417287473808424E-6</v>
      </c>
      <c r="W2" s="20">
        <f t="shared" ref="W2" si="1">ABS(R2/N2)</f>
        <v>2.6417287473808424E-6</v>
      </c>
      <c r="X2" s="20">
        <f t="shared" ref="X2" si="2">ABS(S2/O2)</f>
        <v>2.6417287473808424E-6</v>
      </c>
    </row>
    <row r="3" spans="1:25" ht="16.5" thickTop="1" thickBot="1" x14ac:dyDescent="0.3">
      <c r="A3" s="10" t="s">
        <v>29</v>
      </c>
      <c r="B3" s="9">
        <f>(70000-100)/1.1</f>
        <v>63545.454545454537</v>
      </c>
      <c r="C3" s="8" t="s">
        <v>35</v>
      </c>
    </row>
    <row r="4" spans="1:25" ht="16.5" thickTop="1" thickBot="1" x14ac:dyDescent="0.3">
      <c r="A4" s="6" t="s">
        <v>58</v>
      </c>
      <c r="B4" s="25">
        <v>12000</v>
      </c>
      <c r="C4" s="8" t="s">
        <v>23</v>
      </c>
      <c r="G4" t="s">
        <v>58</v>
      </c>
      <c r="H4" s="4">
        <v>11980.09</v>
      </c>
      <c r="I4" s="4">
        <v>11999.96</v>
      </c>
      <c r="J4" s="4">
        <v>12019.04</v>
      </c>
      <c r="M4" s="16">
        <f>H4</f>
        <v>11980.09</v>
      </c>
      <c r="N4" s="16">
        <f>I4</f>
        <v>11999.96</v>
      </c>
      <c r="O4" s="16">
        <f>J4</f>
        <v>12019.04</v>
      </c>
      <c r="Q4" s="19">
        <f>M4-$B4</f>
        <v>-19.909999999999854</v>
      </c>
      <c r="R4" s="19">
        <f>N4-$B4</f>
        <v>-4.0000000000873115E-2</v>
      </c>
      <c r="S4" s="19">
        <f>O4-$B4</f>
        <v>19.040000000000873</v>
      </c>
      <c r="V4" s="20">
        <f t="shared" ref="V4" si="3">ABS(Q4/M4)</f>
        <v>1.6619240756955795E-3</v>
      </c>
      <c r="W4" s="20">
        <f t="shared" ref="W4" si="4">ABS(R4/N4)</f>
        <v>3.3333444445542418E-6</v>
      </c>
      <c r="X4" s="20">
        <f t="shared" ref="X4" si="5">ABS(S4/O4)</f>
        <v>1.584153143678769E-3</v>
      </c>
    </row>
    <row r="5" spans="1:25" ht="16.5" thickTop="1" thickBot="1" x14ac:dyDescent="0.3">
      <c r="A5" s="23" t="s">
        <v>1</v>
      </c>
      <c r="B5" s="26">
        <v>12000</v>
      </c>
      <c r="C5" s="12" t="s">
        <v>23</v>
      </c>
      <c r="G5" t="s">
        <v>1</v>
      </c>
      <c r="H5" s="4">
        <v>11981.11</v>
      </c>
      <c r="I5" s="4">
        <v>12000.053190000001</v>
      </c>
      <c r="J5" s="4">
        <v>12018.13</v>
      </c>
      <c r="M5" s="16">
        <f>H5</f>
        <v>11981.11</v>
      </c>
      <c r="N5" s="16">
        <f>I5</f>
        <v>12000.053190000001</v>
      </c>
      <c r="O5" s="16">
        <f>J5</f>
        <v>12018.13</v>
      </c>
      <c r="Q5" s="19">
        <f>M5-$B5</f>
        <v>-18.889999999999418</v>
      </c>
      <c r="R5" s="19">
        <f>N5-$B5</f>
        <v>5.3190000000540749E-2</v>
      </c>
      <c r="S5" s="19">
        <f>O5-$B5</f>
        <v>18.1299999999992</v>
      </c>
      <c r="V5" s="20">
        <f t="shared" ref="V5" si="6">ABS(Q5/M5)</f>
        <v>1.5766485742973245E-3</v>
      </c>
      <c r="W5" s="20">
        <f t="shared" ref="W5" si="7">ABS(R5/N5)</f>
        <v>4.4324803530758972E-6</v>
      </c>
      <c r="X5" s="20">
        <f t="shared" ref="X5" si="8">ABS(S5/O5)</f>
        <v>1.5085541594240701E-3</v>
      </c>
    </row>
    <row r="7" spans="1:25" ht="15.75" thickBot="1" x14ac:dyDescent="0.3">
      <c r="E7" s="46"/>
    </row>
    <row r="8" spans="1:25" ht="15.75" thickBot="1" x14ac:dyDescent="0.3">
      <c r="A8" s="27" t="s">
        <v>100</v>
      </c>
      <c r="B8" s="28"/>
      <c r="C8" s="28"/>
      <c r="D8" s="28"/>
      <c r="E8" s="29"/>
    </row>
    <row r="9" spans="1:25" ht="16.5" thickTop="1" thickBot="1" x14ac:dyDescent="0.3">
      <c r="A9" s="6" t="s">
        <v>2</v>
      </c>
      <c r="B9" s="7">
        <f>B5*B2*G115/B119/60*G114</f>
        <v>111.07130386814902</v>
      </c>
      <c r="C9" s="7" t="s">
        <v>27</v>
      </c>
      <c r="D9" s="7">
        <f>B$9*B$119/1000</f>
        <v>3.7854099999999997</v>
      </c>
      <c r="E9" s="8" t="s">
        <v>43</v>
      </c>
      <c r="G9" t="s">
        <v>1</v>
      </c>
      <c r="H9" s="4">
        <f>H5</f>
        <v>11981.11</v>
      </c>
      <c r="I9" s="4">
        <f t="shared" ref="I9:J9" si="9">I5</f>
        <v>12000.053190000001</v>
      </c>
      <c r="J9" s="4">
        <f t="shared" si="9"/>
        <v>12018.13</v>
      </c>
      <c r="M9" s="16">
        <f>(((H9/$B$119)/1000*$H$2)  * $B$119 )/1000</f>
        <v>3.7794411494999998</v>
      </c>
      <c r="N9" s="16">
        <f>(((I9/$B$119)/1000*$H$2)  * $B$119 )/1000</f>
        <v>3.7854167787855002</v>
      </c>
      <c r="O9" s="16">
        <f>(((J9/$B$119)/1000*$H$2)  * $B$119 )/1000</f>
        <v>3.7911191084999993</v>
      </c>
      <c r="Q9" s="19">
        <f>M9-$D9</f>
        <v>-5.9688504999999559E-3</v>
      </c>
      <c r="R9" s="19">
        <f>N9-$D9</f>
        <v>6.7787855004830533E-6</v>
      </c>
      <c r="S9" s="19">
        <f>O9-$D9</f>
        <v>5.7091084999996156E-3</v>
      </c>
      <c r="V9" s="20">
        <f t="shared" ref="V9" si="10">ABS(Q9/M9)</f>
        <v>1.5792944681225168E-3</v>
      </c>
      <c r="W9" s="20">
        <f t="shared" ref="W9" si="11">ABS(R9/N9)</f>
        <v>1.7907633152769864E-6</v>
      </c>
      <c r="X9" s="20">
        <f t="shared" ref="X9" si="12">ABS(S9/O9)</f>
        <v>1.5059164158676332E-3</v>
      </c>
    </row>
    <row r="10" spans="1:25" ht="16.5" thickTop="1" thickBot="1" x14ac:dyDescent="0.3">
      <c r="A10" s="6" t="s">
        <v>3</v>
      </c>
      <c r="B10" s="7">
        <f>B4*B2*G115/B115/60*G114</f>
        <v>222.26586812283483</v>
      </c>
      <c r="C10" s="7" t="s">
        <v>27</v>
      </c>
      <c r="D10" s="7">
        <f>B10*B115/1000</f>
        <v>3.7854099999999997</v>
      </c>
      <c r="E10" s="8" t="s">
        <v>43</v>
      </c>
      <c r="G10" t="s">
        <v>58</v>
      </c>
      <c r="H10" s="4">
        <f>H4</f>
        <v>11980.09</v>
      </c>
      <c r="I10" s="4">
        <f t="shared" ref="I10:J10" si="13">I4</f>
        <v>11999.96</v>
      </c>
      <c r="J10" s="4">
        <f t="shared" si="13"/>
        <v>12019.04</v>
      </c>
      <c r="M10" s="16">
        <f>(((H10/$B$115)/1000*$H$2)  * $B$115 )/1000</f>
        <v>3.7791193905</v>
      </c>
      <c r="N10" s="16">
        <f>(((I10/$B$115)/1000*$H$2)  * $B$115 )/1000</f>
        <v>3.7853873819999992</v>
      </c>
      <c r="O10" s="16">
        <f>(((J10/$B$115)/1000*$H$2)  * $B$115 )/1000</f>
        <v>3.7914061680000004</v>
      </c>
      <c r="Q10" s="19">
        <f>M10-$D10</f>
        <v>-6.2906094999997109E-3</v>
      </c>
      <c r="R10" s="19">
        <f>N10-$D10</f>
        <v>-2.261800000047387E-5</v>
      </c>
      <c r="S10" s="19">
        <f>O10-$D10</f>
        <v>5.9961680000006901E-3</v>
      </c>
      <c r="V10" s="20">
        <f t="shared" ref="V10" si="14">ABS(Q10/M10)</f>
        <v>1.6645701947954139E-3</v>
      </c>
      <c r="W10" s="20">
        <f t="shared" ref="W10" si="15">ABS(R10/N10)</f>
        <v>5.9750819976907388E-6</v>
      </c>
      <c r="X10" s="20">
        <f t="shared" ref="X10" si="16">ABS(S10/O10)</f>
        <v>1.5815155998344858E-3</v>
      </c>
    </row>
    <row r="11" spans="1:25" ht="16.5" thickTop="1" thickBot="1" x14ac:dyDescent="0.3">
      <c r="A11" s="6" t="s">
        <v>4</v>
      </c>
      <c r="B11" s="7">
        <f>(B2*G115*B125)/B121/60</f>
        <v>17559.210607143861</v>
      </c>
      <c r="C11" s="7" t="s">
        <v>27</v>
      </c>
      <c r="D11" s="7">
        <f>B11*B121/1000</f>
        <v>316.33409566666671</v>
      </c>
      <c r="E11" s="8" t="s">
        <v>43</v>
      </c>
      <c r="G11" s="1" t="s">
        <v>86</v>
      </c>
      <c r="H11" s="4">
        <f>1000000-(H9+H10)/1000</f>
        <v>999976.03879999998</v>
      </c>
      <c r="I11" s="4">
        <f t="shared" ref="I11:J11" si="17">1000000-(I9+I10)/1000</f>
        <v>999975.99998681003</v>
      </c>
      <c r="J11" s="4">
        <f t="shared" si="17"/>
        <v>999975.96282999997</v>
      </c>
      <c r="M11" s="16">
        <f>(((H11/($B$121*1000))*$H$2)  * $B$121 )/1000</f>
        <v>315.44244143946003</v>
      </c>
      <c r="N11" s="16">
        <f>(((I11/($B$121*1000))*$H$2)  * $B$121 )/1000</f>
        <v>315.44242919583922</v>
      </c>
      <c r="O11" s="16">
        <f>(((J11/($B$121*1000))*$H$2)  * $B$121 )/1000</f>
        <v>315.44241747472353</v>
      </c>
      <c r="Q11" s="19">
        <f>M11-$D11</f>
        <v>-0.8916542272066863</v>
      </c>
      <c r="R11" s="19">
        <f>N11-$D11</f>
        <v>-0.89166647082748796</v>
      </c>
      <c r="S11" s="19">
        <f>O11-$D11</f>
        <v>-0.89167819194318554</v>
      </c>
      <c r="V11" s="20">
        <f t="shared" ref="V11:X12" si="18">ABS(Q11/M11)</f>
        <v>2.8266780561860866E-3</v>
      </c>
      <c r="W11" s="20">
        <f t="shared" si="18"/>
        <v>2.8267169800227031E-3</v>
      </c>
      <c r="X11" s="20">
        <f t="shared" si="18"/>
        <v>2.8267542427601257E-3</v>
      </c>
    </row>
    <row r="12" spans="1:25" ht="16.5" thickTop="1" thickBot="1" x14ac:dyDescent="0.3">
      <c r="A12" s="6"/>
      <c r="B12" s="7"/>
      <c r="C12" s="7"/>
      <c r="D12" s="7"/>
      <c r="E12" s="8"/>
      <c r="Q12" s="17"/>
      <c r="R12" s="17"/>
      <c r="S12" s="17"/>
      <c r="V12" s="18"/>
      <c r="W12" s="18"/>
      <c r="X12" s="18"/>
    </row>
    <row r="13" spans="1:25" ht="16.5" thickTop="1" thickBot="1" x14ac:dyDescent="0.3">
      <c r="A13" s="6" t="s">
        <v>5</v>
      </c>
      <c r="B13" s="7">
        <f>B9</f>
        <v>111.07130386814902</v>
      </c>
      <c r="C13" s="7" t="s">
        <v>27</v>
      </c>
      <c r="D13" s="7">
        <f>(B13*B117)/1000</f>
        <v>17.727979739091399</v>
      </c>
      <c r="E13" s="8" t="s">
        <v>43</v>
      </c>
      <c r="G13" t="s">
        <v>63</v>
      </c>
      <c r="H13" s="4">
        <v>17700.03</v>
      </c>
      <c r="I13" s="4">
        <v>17728.009999999998</v>
      </c>
      <c r="J13" s="4">
        <v>17754.72</v>
      </c>
      <c r="M13" s="16">
        <f>H13/1000</f>
        <v>17.700029999999998</v>
      </c>
      <c r="N13" s="16">
        <f t="shared" ref="N13:O13" si="19">I13/1000</f>
        <v>17.728009999999998</v>
      </c>
      <c r="O13" s="16">
        <f t="shared" si="19"/>
        <v>17.754720000000002</v>
      </c>
      <c r="Q13" s="19">
        <f>M13-$D13</f>
        <v>-2.7949739091400971E-2</v>
      </c>
      <c r="R13" s="19">
        <f>N13-$D13</f>
        <v>3.0260908598478409E-5</v>
      </c>
      <c r="S13" s="19">
        <f>O13-$D13</f>
        <v>2.6740260908603375E-2</v>
      </c>
      <c r="V13" s="20">
        <f t="shared" ref="V13" si="20">ABS(Q13/M13)</f>
        <v>1.5790786281944704E-3</v>
      </c>
      <c r="W13" s="20">
        <f t="shared" ref="W13" si="21">ABS(R13/N13)</f>
        <v>1.7069546214424751E-6</v>
      </c>
      <c r="X13" s="20">
        <f t="shared" ref="X13" si="22">ABS(S13/O13)</f>
        <v>1.5060930788321849E-3</v>
      </c>
    </row>
    <row r="14" spans="1:25" ht="16.5" thickTop="1" thickBot="1" x14ac:dyDescent="0.3">
      <c r="A14" s="6" t="s">
        <v>6</v>
      </c>
      <c r="B14" s="7">
        <f>B13</f>
        <v>111.07130386814902</v>
      </c>
      <c r="C14" s="7" t="s">
        <v>27</v>
      </c>
      <c r="D14" s="7">
        <f>B14*B120/1000</f>
        <v>10.893762412084186</v>
      </c>
      <c r="E14" s="8" t="s">
        <v>43</v>
      </c>
      <c r="G14" t="s">
        <v>65</v>
      </c>
      <c r="Q14" s="17"/>
      <c r="R14" s="17"/>
      <c r="S14" s="17"/>
      <c r="V14" s="18"/>
      <c r="W14" s="18"/>
      <c r="X14" s="18"/>
    </row>
    <row r="15" spans="1:25" ht="16.5" thickTop="1" thickBot="1" x14ac:dyDescent="0.3">
      <c r="A15" s="6" t="s">
        <v>7</v>
      </c>
      <c r="B15" s="7">
        <f>IF(B14-B10/2 &lt;=0,(-B14+B10/2),0)</f>
        <v>6.163019326839958E-2</v>
      </c>
      <c r="C15" s="7" t="s">
        <v>27</v>
      </c>
      <c r="D15" s="7">
        <f>B15*B120/1000</f>
        <v>6.044627725571362E-3</v>
      </c>
      <c r="E15" s="8" t="s">
        <v>43</v>
      </c>
      <c r="G15" t="s">
        <v>64</v>
      </c>
      <c r="H15" s="4">
        <v>0</v>
      </c>
      <c r="I15" s="4">
        <v>6.6103350000000001</v>
      </c>
      <c r="J15" s="4">
        <v>30.024799999999999</v>
      </c>
      <c r="M15" s="16">
        <f t="shared" ref="M15:O16" si="23">H15/1000</f>
        <v>0</v>
      </c>
      <c r="N15" s="16">
        <f t="shared" si="23"/>
        <v>6.6103350000000002E-3</v>
      </c>
      <c r="O15" s="16">
        <f t="shared" si="23"/>
        <v>3.0024799999999997E-2</v>
      </c>
      <c r="Q15" s="19">
        <f>M15-$D15</f>
        <v>-6.044627725571362E-3</v>
      </c>
      <c r="R15" s="19">
        <f>N15-$D15</f>
        <v>5.6570727442863816E-4</v>
      </c>
      <c r="S15" s="19">
        <f>O15-$D15</f>
        <v>2.3980172274428634E-2</v>
      </c>
      <c r="V15" s="48" t="e">
        <f t="shared" ref="V15:V16" si="24">ABS(Q15/M15)</f>
        <v>#DIV/0!</v>
      </c>
      <c r="W15" s="48">
        <f t="shared" ref="W15:W16" si="25">ABS(R15/N15)</f>
        <v>8.557921412888124E-2</v>
      </c>
      <c r="X15" s="48">
        <f t="shared" ref="X15:X16" si="26">ABS(S15/O15)</f>
        <v>0.79867883464431522</v>
      </c>
      <c r="Y15" t="s">
        <v>97</v>
      </c>
    </row>
    <row r="16" spans="1:25" ht="16.5" thickTop="1" thickBot="1" x14ac:dyDescent="0.3">
      <c r="A16" s="6" t="s">
        <v>8</v>
      </c>
      <c r="B16" s="7">
        <f>IF(B15=0,2*(B14-B10/2),0)</f>
        <v>0</v>
      </c>
      <c r="C16" s="7" t="s">
        <v>27</v>
      </c>
      <c r="D16" s="7">
        <f>(B16*B115)/1000</f>
        <v>0</v>
      </c>
      <c r="E16" s="8" t="s">
        <v>43</v>
      </c>
      <c r="G16" t="s">
        <v>66</v>
      </c>
      <c r="H16" s="4">
        <v>0</v>
      </c>
      <c r="I16" s="4">
        <v>0.22537499999999999</v>
      </c>
      <c r="J16" s="4">
        <v>5.3695000000000004</v>
      </c>
      <c r="M16" s="16">
        <f t="shared" si="23"/>
        <v>0</v>
      </c>
      <c r="N16" s="16">
        <f t="shared" si="23"/>
        <v>2.2537499999999999E-4</v>
      </c>
      <c r="O16" s="16">
        <f t="shared" si="23"/>
        <v>5.3695000000000001E-3</v>
      </c>
      <c r="Q16" s="19">
        <f>M16-$D16</f>
        <v>0</v>
      </c>
      <c r="R16" s="19">
        <f>N16-$D16</f>
        <v>2.2537499999999999E-4</v>
      </c>
      <c r="S16" s="19">
        <f>O16-$D16</f>
        <v>5.3695000000000001E-3</v>
      </c>
      <c r="V16" s="48" t="e">
        <f t="shared" si="24"/>
        <v>#DIV/0!</v>
      </c>
      <c r="W16" s="48">
        <f t="shared" si="25"/>
        <v>1</v>
      </c>
      <c r="X16" s="48">
        <f t="shared" si="26"/>
        <v>1</v>
      </c>
      <c r="Y16" t="s">
        <v>97</v>
      </c>
    </row>
    <row r="17" spans="1:24" ht="15.75" thickTop="1" x14ac:dyDescent="0.25">
      <c r="A17" s="6"/>
      <c r="B17" s="7"/>
      <c r="C17" s="7"/>
      <c r="D17" s="7"/>
      <c r="E17" s="8"/>
      <c r="V17" s="18"/>
      <c r="W17" s="18"/>
      <c r="X17" s="18"/>
    </row>
    <row r="18" spans="1:24" ht="15.75" thickBot="1" x14ac:dyDescent="0.3">
      <c r="A18" s="6" t="s">
        <v>9</v>
      </c>
      <c r="B18" s="7">
        <f>(B20*(B69/2))/(1-B20)</f>
        <v>390.72727686790267</v>
      </c>
      <c r="C18" s="7" t="s">
        <v>27</v>
      </c>
      <c r="D18" s="7"/>
      <c r="E18" s="8"/>
      <c r="V18" s="18"/>
      <c r="W18" s="18"/>
      <c r="X18" s="18"/>
    </row>
    <row r="19" spans="1:24" ht="16.5" thickTop="1" thickBot="1" x14ac:dyDescent="0.3">
      <c r="A19" s="6" t="s">
        <v>10</v>
      </c>
      <c r="B19" s="30">
        <f>1-(B18/B11)</f>
        <v>0.9777480158072176</v>
      </c>
      <c r="C19" s="7"/>
      <c r="D19" s="7"/>
      <c r="E19" s="8"/>
      <c r="G19" t="s">
        <v>68</v>
      </c>
      <c r="H19" s="4">
        <v>97.837919999999997</v>
      </c>
      <c r="I19" s="4">
        <v>97.841139999999996</v>
      </c>
      <c r="J19" s="4">
        <v>97.843980000000002</v>
      </c>
      <c r="M19" s="16">
        <f>H19/100</f>
        <v>0.9783792</v>
      </c>
      <c r="N19" s="16">
        <f t="shared" ref="N19:O19" si="27">I19/100</f>
        <v>0.97841139999999993</v>
      </c>
      <c r="O19" s="16">
        <f t="shared" si="27"/>
        <v>0.97843979999999997</v>
      </c>
      <c r="Q19" s="19">
        <f>M19-$B19</f>
        <v>6.31184192782408E-4</v>
      </c>
      <c r="R19" s="19">
        <f>N19-$B19</f>
        <v>6.6338419278233474E-4</v>
      </c>
      <c r="S19" s="19">
        <f>O19-$B19</f>
        <v>6.9178419278237424E-4</v>
      </c>
      <c r="V19" s="20">
        <f t="shared" ref="V19:X19" si="28">ABS(Q19/M19)</f>
        <v>6.4513247295364411E-4</v>
      </c>
      <c r="W19" s="20">
        <f t="shared" si="28"/>
        <v>6.7802173276224585E-4</v>
      </c>
      <c r="X19" s="20">
        <f t="shared" si="28"/>
        <v>7.0702785473605455E-4</v>
      </c>
    </row>
    <row r="20" spans="1:24" ht="15.75" thickTop="1" x14ac:dyDescent="0.25">
      <c r="A20" s="6" t="s">
        <v>11</v>
      </c>
      <c r="B20" s="7">
        <f>((B126*EXP((B3*B2*G115/60)/(B122*B123*B124)))^(-1))</f>
        <v>0.77855798957317834</v>
      </c>
      <c r="C20" s="7"/>
      <c r="D20" s="7"/>
      <c r="E20" s="8"/>
      <c r="G20" t="s">
        <v>65</v>
      </c>
      <c r="V20" s="18"/>
      <c r="W20" s="18"/>
      <c r="X20" s="18"/>
    </row>
    <row r="21" spans="1:24" x14ac:dyDescent="0.25">
      <c r="A21" s="6"/>
      <c r="B21" s="7"/>
      <c r="C21" s="7"/>
      <c r="D21" s="7"/>
      <c r="E21" s="8"/>
      <c r="V21" s="18"/>
      <c r="W21" s="18"/>
      <c r="X21" s="18"/>
    </row>
    <row r="22" spans="1:24" x14ac:dyDescent="0.25">
      <c r="A22" s="6" t="s">
        <v>37</v>
      </c>
      <c r="B22" s="7"/>
      <c r="C22" s="7"/>
      <c r="D22" s="7"/>
      <c r="E22" s="8"/>
      <c r="V22" s="18"/>
      <c r="W22" s="18"/>
      <c r="X22" s="18"/>
    </row>
    <row r="23" spans="1:24" x14ac:dyDescent="0.25">
      <c r="A23" s="6" t="s">
        <v>0</v>
      </c>
      <c r="B23" s="24">
        <f>B$2</f>
        <v>5000</v>
      </c>
      <c r="C23" s="7" t="s">
        <v>26</v>
      </c>
      <c r="D23" s="7"/>
      <c r="E23" s="8"/>
      <c r="V23" s="18"/>
      <c r="W23" s="18"/>
      <c r="X23" s="18"/>
    </row>
    <row r="24" spans="1:24" x14ac:dyDescent="0.25">
      <c r="A24" s="6"/>
      <c r="B24" s="7" t="s">
        <v>41</v>
      </c>
      <c r="C24" s="7"/>
      <c r="D24" s="7" t="s">
        <v>42</v>
      </c>
      <c r="E24" s="8"/>
      <c r="V24" s="18"/>
      <c r="W24" s="18"/>
      <c r="X24" s="18"/>
    </row>
    <row r="25" spans="1:24" x14ac:dyDescent="0.25">
      <c r="A25" s="6" t="s">
        <v>3</v>
      </c>
      <c r="B25" s="31">
        <f>B$10</f>
        <v>222.26586812283483</v>
      </c>
      <c r="C25" s="7" t="s">
        <v>27</v>
      </c>
      <c r="D25" s="32">
        <f>B25*B$115/1000</f>
        <v>3.7854099999999997</v>
      </c>
      <c r="E25" s="8" t="s">
        <v>43</v>
      </c>
      <c r="G25" t="s">
        <v>70</v>
      </c>
      <c r="V25" s="18"/>
      <c r="W25" s="18"/>
      <c r="X25" s="18"/>
    </row>
    <row r="26" spans="1:24" x14ac:dyDescent="0.25">
      <c r="A26" s="6" t="s">
        <v>38</v>
      </c>
      <c r="B26" s="33">
        <v>0</v>
      </c>
      <c r="C26" s="7" t="s">
        <v>27</v>
      </c>
      <c r="D26" s="33">
        <f>B26*B$116/1000</f>
        <v>0</v>
      </c>
      <c r="E26" s="8" t="s">
        <v>43</v>
      </c>
      <c r="V26" s="18"/>
      <c r="W26" s="18"/>
      <c r="X26" s="18"/>
    </row>
    <row r="27" spans="1:24" x14ac:dyDescent="0.25">
      <c r="A27" s="6" t="s">
        <v>5</v>
      </c>
      <c r="B27" s="33">
        <v>0</v>
      </c>
      <c r="C27" s="7" t="s">
        <v>27</v>
      </c>
      <c r="D27" s="33">
        <f>B27*B$117/1000</f>
        <v>0</v>
      </c>
      <c r="E27" s="8" t="s">
        <v>43</v>
      </c>
      <c r="V27" s="18"/>
      <c r="W27" s="18"/>
      <c r="X27" s="18"/>
    </row>
    <row r="28" spans="1:24" x14ac:dyDescent="0.25">
      <c r="A28" s="6" t="s">
        <v>39</v>
      </c>
      <c r="B28" s="33">
        <v>0</v>
      </c>
      <c r="C28" s="7" t="s">
        <v>27</v>
      </c>
      <c r="D28" s="33">
        <f>B28*B$118/1000</f>
        <v>0</v>
      </c>
      <c r="E28" s="8" t="s">
        <v>43</v>
      </c>
      <c r="V28" s="18"/>
      <c r="W28" s="18"/>
      <c r="X28" s="18"/>
    </row>
    <row r="29" spans="1:24" x14ac:dyDescent="0.25">
      <c r="A29" s="6" t="s">
        <v>2</v>
      </c>
      <c r="B29" s="31">
        <f>B$9</f>
        <v>111.07130386814902</v>
      </c>
      <c r="C29" s="7" t="s">
        <v>27</v>
      </c>
      <c r="D29" s="32">
        <f>B29*B$119/1000</f>
        <v>3.7854099999999997</v>
      </c>
      <c r="E29" s="8" t="s">
        <v>43</v>
      </c>
      <c r="G29" t="s">
        <v>69</v>
      </c>
      <c r="V29" s="18"/>
      <c r="W29" s="18"/>
      <c r="X29" s="18"/>
    </row>
    <row r="30" spans="1:24" x14ac:dyDescent="0.25">
      <c r="A30" s="6" t="s">
        <v>47</v>
      </c>
      <c r="B30" s="24">
        <v>0</v>
      </c>
      <c r="C30" s="7" t="s">
        <v>27</v>
      </c>
      <c r="D30" s="33">
        <f>B30*B$120/1000</f>
        <v>0</v>
      </c>
      <c r="E30" s="8" t="s">
        <v>43</v>
      </c>
      <c r="V30" s="18"/>
      <c r="W30" s="18"/>
      <c r="X30" s="18"/>
    </row>
    <row r="31" spans="1:24" x14ac:dyDescent="0.25">
      <c r="A31" s="6" t="s">
        <v>4</v>
      </c>
      <c r="B31" s="7">
        <f>B$11</f>
        <v>17559.210607143861</v>
      </c>
      <c r="C31" s="7" t="s">
        <v>27</v>
      </c>
      <c r="D31" s="34">
        <f>B31*B$121/1000</f>
        <v>316.33409566666671</v>
      </c>
      <c r="E31" s="8" t="s">
        <v>43</v>
      </c>
      <c r="G31" t="s">
        <v>71</v>
      </c>
      <c r="V31" s="18"/>
      <c r="W31" s="18"/>
      <c r="X31" s="18"/>
    </row>
    <row r="32" spans="1:24" x14ac:dyDescent="0.25">
      <c r="A32" s="6"/>
      <c r="B32" s="7"/>
      <c r="C32" s="7"/>
      <c r="D32" s="7"/>
      <c r="E32" s="8"/>
      <c r="V32" s="18"/>
      <c r="W32" s="18"/>
      <c r="X32" s="18"/>
    </row>
    <row r="33" spans="1:24" x14ac:dyDescent="0.25">
      <c r="A33" s="6" t="s">
        <v>40</v>
      </c>
      <c r="B33" s="7"/>
      <c r="C33" s="7"/>
      <c r="D33" s="7"/>
      <c r="E33" s="8"/>
      <c r="V33" s="18"/>
      <c r="W33" s="18"/>
      <c r="X33" s="18"/>
    </row>
    <row r="34" spans="1:24" x14ac:dyDescent="0.25">
      <c r="A34" s="6" t="s">
        <v>0</v>
      </c>
      <c r="B34" s="7">
        <v>0.1</v>
      </c>
      <c r="C34" s="7" t="s">
        <v>26</v>
      </c>
      <c r="D34" s="7"/>
      <c r="E34" s="8"/>
      <c r="G34" t="s">
        <v>72</v>
      </c>
      <c r="V34" s="18"/>
      <c r="W34" s="18"/>
      <c r="X34" s="18"/>
    </row>
    <row r="35" spans="1:24" x14ac:dyDescent="0.25">
      <c r="A35" s="6"/>
      <c r="B35" s="7" t="s">
        <v>41</v>
      </c>
      <c r="C35" s="7"/>
      <c r="D35" s="7" t="s">
        <v>42</v>
      </c>
      <c r="E35" s="8"/>
      <c r="V35" s="18"/>
      <c r="W35" s="18"/>
      <c r="X35" s="18"/>
    </row>
    <row r="36" spans="1:24" x14ac:dyDescent="0.25">
      <c r="A36" s="6" t="s">
        <v>3</v>
      </c>
      <c r="B36" s="35">
        <f>B25/B$23*B$34*60</f>
        <v>0.2667190417474018</v>
      </c>
      <c r="C36" s="7" t="s">
        <v>44</v>
      </c>
      <c r="D36" s="32">
        <f>B36*B$115</f>
        <v>4.5424919999999993</v>
      </c>
      <c r="E36" s="8" t="s">
        <v>45</v>
      </c>
      <c r="V36" s="18"/>
      <c r="W36" s="18"/>
      <c r="X36" s="18"/>
    </row>
    <row r="37" spans="1:24" x14ac:dyDescent="0.25">
      <c r="A37" s="6" t="s">
        <v>38</v>
      </c>
      <c r="B37" s="24">
        <f>B26/B$23*B$34*60</f>
        <v>0</v>
      </c>
      <c r="C37" s="7" t="s">
        <v>44</v>
      </c>
      <c r="D37" s="33">
        <f>B37*B$116</f>
        <v>0</v>
      </c>
      <c r="E37" s="8" t="s">
        <v>45</v>
      </c>
      <c r="V37" s="18"/>
      <c r="W37" s="18"/>
      <c r="X37" s="18"/>
    </row>
    <row r="38" spans="1:24" x14ac:dyDescent="0.25">
      <c r="A38" s="6" t="s">
        <v>5</v>
      </c>
      <c r="B38" s="24">
        <f>B27/B$23*B$34*60</f>
        <v>0</v>
      </c>
      <c r="C38" s="7" t="s">
        <v>44</v>
      </c>
      <c r="D38" s="33">
        <f>B38*B$117</f>
        <v>0</v>
      </c>
      <c r="E38" s="8" t="s">
        <v>45</v>
      </c>
      <c r="V38" s="18"/>
      <c r="W38" s="18"/>
      <c r="X38" s="18"/>
    </row>
    <row r="39" spans="1:24" x14ac:dyDescent="0.25">
      <c r="A39" s="6" t="s">
        <v>39</v>
      </c>
      <c r="B39" s="24">
        <f>B28/B$23*B$34*60</f>
        <v>0</v>
      </c>
      <c r="C39" s="7" t="s">
        <v>44</v>
      </c>
      <c r="D39" s="33">
        <f>B39*B$118</f>
        <v>0</v>
      </c>
      <c r="E39" s="8" t="s">
        <v>45</v>
      </c>
      <c r="V39" s="18"/>
      <c r="W39" s="18"/>
      <c r="X39" s="18"/>
    </row>
    <row r="40" spans="1:24" x14ac:dyDescent="0.25">
      <c r="A40" s="6" t="s">
        <v>2</v>
      </c>
      <c r="B40" s="35">
        <f>B29/B$23*B$34*60</f>
        <v>0.13328556464177882</v>
      </c>
      <c r="C40" s="7" t="s">
        <v>44</v>
      </c>
      <c r="D40" s="32">
        <f>B40*B$119</f>
        <v>4.5424919999999993</v>
      </c>
      <c r="E40" s="8" t="s">
        <v>45</v>
      </c>
      <c r="V40" s="18"/>
      <c r="W40" s="18"/>
      <c r="X40" s="18"/>
    </row>
    <row r="41" spans="1:24" x14ac:dyDescent="0.25">
      <c r="A41" s="6" t="s">
        <v>47</v>
      </c>
      <c r="B41" s="24">
        <v>0</v>
      </c>
      <c r="C41" s="7" t="s">
        <v>27</v>
      </c>
      <c r="D41" s="33">
        <f>B41*B$120/1000</f>
        <v>0</v>
      </c>
      <c r="E41" s="8" t="s">
        <v>43</v>
      </c>
      <c r="V41" s="18"/>
      <c r="W41" s="18"/>
      <c r="X41" s="18"/>
    </row>
    <row r="42" spans="1:24" x14ac:dyDescent="0.25">
      <c r="A42" s="6" t="s">
        <v>4</v>
      </c>
      <c r="B42" s="31">
        <f>B31/B$23*B$34*60</f>
        <v>21.071052728572631</v>
      </c>
      <c r="C42" s="7" t="s">
        <v>44</v>
      </c>
      <c r="D42" s="34">
        <f>B42*B$121</f>
        <v>379.60091479999994</v>
      </c>
      <c r="E42" s="8" t="s">
        <v>45</v>
      </c>
      <c r="V42" s="18"/>
      <c r="W42" s="18"/>
      <c r="X42" s="18"/>
    </row>
    <row r="43" spans="1:24" x14ac:dyDescent="0.25">
      <c r="A43" s="6"/>
      <c r="B43" s="7"/>
      <c r="C43" s="7"/>
      <c r="D43" s="7"/>
      <c r="E43" s="8"/>
      <c r="V43" s="18"/>
      <c r="W43" s="18"/>
      <c r="X43" s="18"/>
    </row>
    <row r="44" spans="1:24" x14ac:dyDescent="0.25">
      <c r="A44" s="6" t="s">
        <v>46</v>
      </c>
      <c r="B44" s="7"/>
      <c r="C44" s="7"/>
      <c r="D44" s="7"/>
      <c r="E44" s="8"/>
      <c r="G44" t="s">
        <v>72</v>
      </c>
      <c r="V44" s="18"/>
      <c r="W44" s="18"/>
      <c r="X44" s="18"/>
    </row>
    <row r="45" spans="1:24" x14ac:dyDescent="0.25">
      <c r="A45" s="6" t="s">
        <v>0</v>
      </c>
      <c r="B45" s="24">
        <v>0</v>
      </c>
      <c r="C45" s="7" t="s">
        <v>26</v>
      </c>
      <c r="D45" s="7"/>
      <c r="E45" s="8"/>
      <c r="V45" s="18"/>
      <c r="W45" s="18"/>
      <c r="X45" s="18"/>
    </row>
    <row r="46" spans="1:24" x14ac:dyDescent="0.25">
      <c r="A46" s="6"/>
      <c r="B46" s="7" t="s">
        <v>41</v>
      </c>
      <c r="C46" s="7"/>
      <c r="D46" s="7" t="s">
        <v>42</v>
      </c>
      <c r="E46" s="8"/>
      <c r="V46" s="18"/>
      <c r="W46" s="18"/>
      <c r="X46" s="18"/>
    </row>
    <row r="47" spans="1:24" x14ac:dyDescent="0.25">
      <c r="A47" s="6" t="s">
        <v>3</v>
      </c>
      <c r="B47" s="24">
        <v>0</v>
      </c>
      <c r="C47" s="7" t="s">
        <v>27</v>
      </c>
      <c r="D47" s="33">
        <f>B47*B$115/1000</f>
        <v>0</v>
      </c>
      <c r="E47" s="8" t="s">
        <v>43</v>
      </c>
      <c r="V47" s="18"/>
      <c r="W47" s="18"/>
      <c r="X47" s="18"/>
    </row>
    <row r="48" spans="1:24" x14ac:dyDescent="0.25">
      <c r="A48" s="6" t="s">
        <v>38</v>
      </c>
      <c r="B48" s="33">
        <v>0</v>
      </c>
      <c r="C48" s="7" t="s">
        <v>27</v>
      </c>
      <c r="D48" s="33">
        <f>B48*B$116/1000</f>
        <v>0</v>
      </c>
      <c r="E48" s="8" t="s">
        <v>43</v>
      </c>
      <c r="V48" s="18"/>
      <c r="W48" s="18"/>
      <c r="X48" s="18"/>
    </row>
    <row r="49" spans="1:24" x14ac:dyDescent="0.25">
      <c r="A49" s="6" t="s">
        <v>5</v>
      </c>
      <c r="B49" s="34">
        <f>B13</f>
        <v>111.07130386814902</v>
      </c>
      <c r="C49" s="7" t="s">
        <v>27</v>
      </c>
      <c r="D49" s="34">
        <f>B49*B$117/1000</f>
        <v>17.727979739091399</v>
      </c>
      <c r="E49" s="8" t="s">
        <v>43</v>
      </c>
      <c r="V49" s="18"/>
      <c r="W49" s="18"/>
      <c r="X49" s="18"/>
    </row>
    <row r="50" spans="1:24" x14ac:dyDescent="0.25">
      <c r="A50" s="6" t="s">
        <v>39</v>
      </c>
      <c r="B50" s="33">
        <v>0</v>
      </c>
      <c r="C50" s="7" t="s">
        <v>27</v>
      </c>
      <c r="D50" s="33">
        <f>B50*B$118/1000</f>
        <v>0</v>
      </c>
      <c r="E50" s="8" t="s">
        <v>43</v>
      </c>
      <c r="V50" s="18"/>
      <c r="W50" s="18"/>
      <c r="X50" s="18"/>
    </row>
    <row r="51" spans="1:24" x14ac:dyDescent="0.25">
      <c r="A51" s="6" t="s">
        <v>2</v>
      </c>
      <c r="B51" s="24">
        <v>0</v>
      </c>
      <c r="C51" s="7" t="s">
        <v>27</v>
      </c>
      <c r="D51" s="33">
        <f>B51*B$119/1000</f>
        <v>0</v>
      </c>
      <c r="E51" s="8" t="s">
        <v>43</v>
      </c>
      <c r="V51" s="18"/>
      <c r="W51" s="18"/>
      <c r="X51" s="18"/>
    </row>
    <row r="52" spans="1:24" x14ac:dyDescent="0.25">
      <c r="A52" s="6" t="s">
        <v>47</v>
      </c>
      <c r="B52" s="24">
        <f>B$15</f>
        <v>6.163019326839958E-2</v>
      </c>
      <c r="C52" s="7" t="s">
        <v>27</v>
      </c>
      <c r="D52" s="33">
        <f>B52*B$120/1000</f>
        <v>6.044627725571362E-3</v>
      </c>
      <c r="E52" s="8" t="s">
        <v>43</v>
      </c>
      <c r="V52" s="18"/>
      <c r="W52" s="18"/>
      <c r="X52" s="18"/>
    </row>
    <row r="53" spans="1:24" x14ac:dyDescent="0.25">
      <c r="A53" s="6" t="s">
        <v>4</v>
      </c>
      <c r="B53" s="7">
        <f>B32</f>
        <v>0</v>
      </c>
      <c r="C53" s="7" t="s">
        <v>27</v>
      </c>
      <c r="D53" s="34">
        <f>B53*B$121/1000</f>
        <v>0</v>
      </c>
      <c r="E53" s="8" t="s">
        <v>43</v>
      </c>
      <c r="V53" s="18"/>
      <c r="W53" s="18"/>
      <c r="X53" s="18"/>
    </row>
    <row r="54" spans="1:24" x14ac:dyDescent="0.25">
      <c r="A54" s="6"/>
      <c r="B54" s="7"/>
      <c r="C54" s="7"/>
      <c r="D54" s="7"/>
      <c r="E54" s="8"/>
      <c r="V54" s="18"/>
      <c r="W54" s="18"/>
      <c r="X54" s="18"/>
    </row>
    <row r="55" spans="1:24" x14ac:dyDescent="0.25">
      <c r="A55" s="6" t="s">
        <v>48</v>
      </c>
      <c r="B55" s="7"/>
      <c r="C55" s="7"/>
      <c r="D55" s="7"/>
      <c r="E55" s="8"/>
      <c r="V55" s="18"/>
      <c r="W55" s="18"/>
      <c r="X55" s="18"/>
    </row>
    <row r="56" spans="1:24" x14ac:dyDescent="0.25">
      <c r="A56" s="6" t="s">
        <v>0</v>
      </c>
      <c r="B56" s="24">
        <f>B$2</f>
        <v>5000</v>
      </c>
      <c r="C56" s="7" t="s">
        <v>26</v>
      </c>
      <c r="D56" s="7"/>
      <c r="E56" s="8"/>
      <c r="V56" s="18"/>
      <c r="W56" s="18"/>
      <c r="X56" s="18"/>
    </row>
    <row r="57" spans="1:24" x14ac:dyDescent="0.25">
      <c r="A57" s="6"/>
      <c r="B57" s="7" t="s">
        <v>41</v>
      </c>
      <c r="C57" s="7"/>
      <c r="D57" s="7" t="s">
        <v>42</v>
      </c>
      <c r="E57" s="8"/>
      <c r="V57" s="18"/>
      <c r="W57" s="18"/>
      <c r="X57" s="18"/>
    </row>
    <row r="58" spans="1:24" x14ac:dyDescent="0.25">
      <c r="A58" s="6" t="s">
        <v>3</v>
      </c>
      <c r="B58" s="31">
        <f>B$10</f>
        <v>222.26586812283483</v>
      </c>
      <c r="C58" s="7" t="s">
        <v>27</v>
      </c>
      <c r="D58" s="32">
        <f>B58*B$115/1000</f>
        <v>3.7854099999999997</v>
      </c>
      <c r="E58" s="8" t="s">
        <v>43</v>
      </c>
      <c r="G58" t="s">
        <v>70</v>
      </c>
      <c r="V58" s="18"/>
      <c r="W58" s="18"/>
      <c r="X58" s="18"/>
    </row>
    <row r="59" spans="1:24" x14ac:dyDescent="0.25">
      <c r="A59" s="6" t="s">
        <v>38</v>
      </c>
      <c r="B59" s="33">
        <v>0</v>
      </c>
      <c r="C59" s="7" t="s">
        <v>27</v>
      </c>
      <c r="D59" s="33">
        <f>B59*B$116/1000</f>
        <v>0</v>
      </c>
      <c r="E59" s="8" t="s">
        <v>43</v>
      </c>
      <c r="V59" s="18"/>
      <c r="W59" s="18"/>
      <c r="X59" s="18"/>
    </row>
    <row r="60" spans="1:24" x14ac:dyDescent="0.25">
      <c r="A60" s="6" t="s">
        <v>5</v>
      </c>
      <c r="B60" s="34">
        <f>B$49</f>
        <v>111.07130386814902</v>
      </c>
      <c r="C60" s="7" t="s">
        <v>27</v>
      </c>
      <c r="D60" s="34">
        <f>B60*B$117/1000</f>
        <v>17.727979739091399</v>
      </c>
      <c r="E60" s="8" t="s">
        <v>43</v>
      </c>
      <c r="G60" t="s">
        <v>69</v>
      </c>
      <c r="V60" s="18"/>
      <c r="W60" s="18"/>
      <c r="X60" s="18"/>
    </row>
    <row r="61" spans="1:24" x14ac:dyDescent="0.25">
      <c r="A61" s="6" t="s">
        <v>39</v>
      </c>
      <c r="B61" s="33">
        <v>0</v>
      </c>
      <c r="C61" s="7" t="s">
        <v>27</v>
      </c>
      <c r="D61" s="33">
        <f>B61*B$118/1000</f>
        <v>0</v>
      </c>
      <c r="E61" s="8" t="s">
        <v>43</v>
      </c>
      <c r="V61" s="18"/>
      <c r="W61" s="18"/>
      <c r="X61" s="18"/>
    </row>
    <row r="62" spans="1:24" x14ac:dyDescent="0.25">
      <c r="A62" s="6" t="s">
        <v>2</v>
      </c>
      <c r="B62" s="31">
        <f>B$9</f>
        <v>111.07130386814902</v>
      </c>
      <c r="C62" s="7" t="s">
        <v>27</v>
      </c>
      <c r="D62" s="32">
        <f>B62*B$119/1000</f>
        <v>3.7854099999999997</v>
      </c>
      <c r="E62" s="8" t="s">
        <v>43</v>
      </c>
      <c r="G62" t="s">
        <v>69</v>
      </c>
      <c r="V62" s="18"/>
      <c r="W62" s="18"/>
      <c r="X62" s="18"/>
    </row>
    <row r="63" spans="1:24" x14ac:dyDescent="0.25">
      <c r="A63" s="6" t="s">
        <v>47</v>
      </c>
      <c r="B63" s="24">
        <f>B52</f>
        <v>6.163019326839958E-2</v>
      </c>
      <c r="C63" s="7" t="s">
        <v>27</v>
      </c>
      <c r="D63" s="33">
        <f>B63*B$120/1000</f>
        <v>6.044627725571362E-3</v>
      </c>
      <c r="E63" s="8" t="s">
        <v>43</v>
      </c>
      <c r="V63" s="18"/>
      <c r="W63" s="18"/>
      <c r="X63" s="18"/>
    </row>
    <row r="64" spans="1:24" x14ac:dyDescent="0.25">
      <c r="A64" s="6" t="s">
        <v>4</v>
      </c>
      <c r="B64" s="36">
        <f>B$11</f>
        <v>17559.210607143861</v>
      </c>
      <c r="C64" s="7" t="s">
        <v>27</v>
      </c>
      <c r="D64" s="34">
        <f>B64*B$121/1000</f>
        <v>316.33409566666671</v>
      </c>
      <c r="E64" s="8" t="s">
        <v>43</v>
      </c>
      <c r="V64" s="18"/>
      <c r="W64" s="18"/>
      <c r="X64" s="18"/>
    </row>
    <row r="65" spans="1:24" x14ac:dyDescent="0.25">
      <c r="A65" s="6"/>
      <c r="B65" s="7"/>
      <c r="C65" s="7"/>
      <c r="D65" s="7"/>
      <c r="E65" s="8"/>
      <c r="V65" s="18"/>
      <c r="W65" s="18"/>
      <c r="X65" s="18"/>
    </row>
    <row r="66" spans="1:24" x14ac:dyDescent="0.25">
      <c r="A66" s="6" t="s">
        <v>49</v>
      </c>
      <c r="B66" s="7"/>
      <c r="C66" s="7"/>
      <c r="D66" s="7"/>
      <c r="E66" s="8"/>
      <c r="V66" s="18"/>
      <c r="W66" s="18"/>
      <c r="X66" s="18"/>
    </row>
    <row r="67" spans="1:24" x14ac:dyDescent="0.25">
      <c r="A67" s="6" t="s">
        <v>0</v>
      </c>
      <c r="B67" s="24">
        <f>B$2</f>
        <v>5000</v>
      </c>
      <c r="C67" s="7" t="s">
        <v>26</v>
      </c>
      <c r="D67" s="7"/>
      <c r="E67" s="8"/>
      <c r="V67" s="18"/>
      <c r="W67" s="18"/>
      <c r="X67" s="18"/>
    </row>
    <row r="68" spans="1:24" ht="15.75" thickBot="1" x14ac:dyDescent="0.3">
      <c r="A68" s="6"/>
      <c r="B68" s="7" t="s">
        <v>41</v>
      </c>
      <c r="C68" s="7"/>
      <c r="D68" s="7" t="s">
        <v>42</v>
      </c>
      <c r="E68" s="8"/>
      <c r="V68" s="18"/>
      <c r="W68" s="18"/>
      <c r="X68" s="18"/>
    </row>
    <row r="69" spans="1:24" ht="16.5" thickTop="1" thickBot="1" x14ac:dyDescent="0.3">
      <c r="A69" s="6" t="s">
        <v>3</v>
      </c>
      <c r="B69" s="37">
        <f>B10+B16</f>
        <v>222.26586812283483</v>
      </c>
      <c r="C69" s="7" t="s">
        <v>27</v>
      </c>
      <c r="D69" s="34">
        <f>(B69*B$115)/1000</f>
        <v>3.7854099999999997</v>
      </c>
      <c r="E69" s="8" t="s">
        <v>43</v>
      </c>
      <c r="G69" t="s">
        <v>62</v>
      </c>
      <c r="H69" s="4">
        <v>1.1985000000000001E-2</v>
      </c>
      <c r="I69" s="4">
        <v>1.2001E-2</v>
      </c>
      <c r="J69" s="4">
        <v>1.2019E-2</v>
      </c>
      <c r="M69" s="16">
        <f>(((H69/$B$115)*1000*$H$2)  * $B$115 )/1000</f>
        <v>3.7806682500000002</v>
      </c>
      <c r="N69" s="16">
        <f>(((I69/$B$115)*1000*$H$2)  * $B$115 )/1000</f>
        <v>3.7857154499999992</v>
      </c>
      <c r="O69" s="16">
        <f>(((J69/$B$115)*1000*$H$2)  * $B$115 )/1000</f>
        <v>3.7913935500000004</v>
      </c>
      <c r="Q69" s="19">
        <f>M69-$D69</f>
        <v>-4.7417499999995449E-3</v>
      </c>
      <c r="R69" s="19">
        <f>N69-$D69</f>
        <v>3.054499999994853E-4</v>
      </c>
      <c r="S69" s="19">
        <f>O69-$D69</f>
        <v>5.9835500000007258E-3</v>
      </c>
      <c r="V69" s="20">
        <f t="shared" ref="V69" si="29">ABS(Q69/M69)</f>
        <v>1.2542094906104349E-3</v>
      </c>
      <c r="W69" s="20">
        <f t="shared" ref="W69" si="30">ABS(R69/N69)</f>
        <v>8.0684880845834669E-5</v>
      </c>
      <c r="X69" s="20">
        <f t="shared" ref="X69" si="31">ABS(S69/O69)</f>
        <v>1.5781927993206415E-3</v>
      </c>
    </row>
    <row r="70" spans="1:24" ht="16.5" thickTop="1" thickBot="1" x14ac:dyDescent="0.3">
      <c r="A70" s="6" t="s">
        <v>38</v>
      </c>
      <c r="B70" s="37">
        <f>(B$58*G$117)</f>
        <v>111.13282292848335</v>
      </c>
      <c r="C70" s="7" t="s">
        <v>27</v>
      </c>
      <c r="D70" s="34">
        <f>B70*B$116/1000</f>
        <v>14.685091221769788</v>
      </c>
      <c r="E70" s="8" t="s">
        <v>43</v>
      </c>
    </row>
    <row r="71" spans="1:24" ht="16.5" thickTop="1" thickBot="1" x14ac:dyDescent="0.3">
      <c r="A71" s="6" t="s">
        <v>5</v>
      </c>
      <c r="B71" s="37">
        <f>B72</f>
        <v>111.07119279684514</v>
      </c>
      <c r="C71" s="7" t="s">
        <v>27</v>
      </c>
      <c r="D71" s="34">
        <f>(B71*B$117)/1000</f>
        <v>17.727962011111657</v>
      </c>
      <c r="E71" s="8" t="s">
        <v>43</v>
      </c>
      <c r="G71" t="s">
        <v>63</v>
      </c>
      <c r="H71" s="4">
        <v>17700.03</v>
      </c>
      <c r="I71" s="4">
        <v>17728.009999999998</v>
      </c>
      <c r="J71" s="4">
        <v>17754.72</v>
      </c>
      <c r="M71" s="16">
        <f>H71/1000</f>
        <v>17.700029999999998</v>
      </c>
      <c r="N71" s="16">
        <f t="shared" ref="N71:O71" si="32">I71/1000</f>
        <v>17.728009999999998</v>
      </c>
      <c r="O71" s="16">
        <f t="shared" si="32"/>
        <v>17.754720000000002</v>
      </c>
      <c r="Q71" s="19">
        <f>M71-$D71</f>
        <v>-2.7932011111658994E-2</v>
      </c>
      <c r="R71" s="19">
        <f>N71-$D71</f>
        <v>4.798888834045556E-5</v>
      </c>
      <c r="S71" s="19">
        <f>O71-$D71</f>
        <v>2.6757988888345352E-2</v>
      </c>
      <c r="V71" s="20">
        <f t="shared" ref="V71" si="33">ABS(Q71/M71)</f>
        <v>1.5780770491156794E-3</v>
      </c>
      <c r="W71" s="20">
        <f t="shared" ref="W71" si="34">ABS(R71/N71)</f>
        <v>2.7069529146506329E-6</v>
      </c>
      <c r="X71" s="20">
        <f t="shared" ref="X71" si="35">ABS(S71/O71)</f>
        <v>1.5070915727392687E-3</v>
      </c>
    </row>
    <row r="72" spans="1:24" ht="16.5" thickTop="1" thickBot="1" x14ac:dyDescent="0.3">
      <c r="A72" s="6" t="s">
        <v>39</v>
      </c>
      <c r="B72" s="37">
        <f>(B$62*G$116)</f>
        <v>111.07119279684514</v>
      </c>
      <c r="C72" s="7" t="s">
        <v>27</v>
      </c>
      <c r="D72" s="34">
        <f>B72*B$118/1000</f>
        <v>10.619627814499161</v>
      </c>
      <c r="E72" s="8" t="s">
        <v>43</v>
      </c>
    </row>
    <row r="73" spans="1:24" ht="16.5" thickTop="1" thickBot="1" x14ac:dyDescent="0.3">
      <c r="A73" s="6" t="s">
        <v>2</v>
      </c>
      <c r="B73" s="37">
        <f>B9</f>
        <v>111.07130386814902</v>
      </c>
      <c r="C73" s="7" t="s">
        <v>27</v>
      </c>
      <c r="D73" s="34">
        <f>(B73*B$119)/1000</f>
        <v>3.7854099999999997</v>
      </c>
      <c r="E73" s="8" t="s">
        <v>43</v>
      </c>
      <c r="G73" t="s">
        <v>61</v>
      </c>
      <c r="H73" s="4">
        <v>1.1981E-2</v>
      </c>
      <c r="I73" s="4">
        <v>1.2E-2</v>
      </c>
      <c r="J73" s="4">
        <v>1.2017999999999999E-2</v>
      </c>
      <c r="M73" s="16">
        <f>(((H73/$B$119)*1000*$H$2)  * $B$119 )/1000</f>
        <v>3.7794064499999998</v>
      </c>
      <c r="N73" s="16">
        <f>(((I73/$B$119)*1000*$H$2)  * $B$119 )/1000</f>
        <v>3.7853999999999997</v>
      </c>
      <c r="O73" s="16">
        <f>(((J73/$B$119)*1000*$H$2)  * $B$119 )/1000</f>
        <v>3.7910781</v>
      </c>
      <c r="Q73" s="19">
        <f>M73-$D73</f>
        <v>-6.0035499999999686E-3</v>
      </c>
      <c r="R73" s="19">
        <f>N73-$D73</f>
        <v>-1.0000000000065512E-5</v>
      </c>
      <c r="S73" s="19">
        <f>O73-$D73</f>
        <v>5.6681000000002868E-3</v>
      </c>
      <c r="V73" s="20">
        <f t="shared" ref="V73" si="36">ABS(Q73/M73)</f>
        <v>1.5884901715188557E-3</v>
      </c>
      <c r="W73" s="20">
        <f t="shared" ref="W73" si="37">ABS(R73/N73)</f>
        <v>2.6417287473095349E-6</v>
      </c>
      <c r="X73" s="20">
        <f t="shared" ref="X73" si="38">ABS(S73/O73)</f>
        <v>1.4951155978559995E-3</v>
      </c>
    </row>
    <row r="74" spans="1:24" ht="16.5" thickTop="1" thickBot="1" x14ac:dyDescent="0.3">
      <c r="A74" s="6" t="s">
        <v>47</v>
      </c>
      <c r="B74" s="37">
        <f>(B$14+B$15-B$60)</f>
        <v>6.163019326839958E-2</v>
      </c>
      <c r="C74" s="7" t="s">
        <v>27</v>
      </c>
      <c r="D74" s="34">
        <f>B74*B$120/1000</f>
        <v>6.044627725571362E-3</v>
      </c>
      <c r="E74" s="8" t="s">
        <v>43</v>
      </c>
      <c r="V74" s="18"/>
      <c r="W74" s="18"/>
      <c r="X74" s="18"/>
    </row>
    <row r="75" spans="1:24" ht="16.5" thickTop="1" thickBot="1" x14ac:dyDescent="0.3">
      <c r="A75" s="6" t="s">
        <v>4</v>
      </c>
      <c r="B75" s="36">
        <f>B$11</f>
        <v>17559.210607143861</v>
      </c>
      <c r="C75" s="7" t="s">
        <v>27</v>
      </c>
      <c r="D75" s="34">
        <f>B75*B$121/1000</f>
        <v>316.33409566666671</v>
      </c>
      <c r="E75" s="8" t="s">
        <v>43</v>
      </c>
      <c r="G75" t="s">
        <v>73</v>
      </c>
      <c r="H75" s="4">
        <f>1000000-(H73+H69)</f>
        <v>999999.97603400005</v>
      </c>
      <c r="I75" s="4">
        <f>1000000-(I73+I69)</f>
        <v>999999.97599900002</v>
      </c>
      <c r="J75" s="4">
        <f>1000000-(J73+J69)</f>
        <v>999999.97596299998</v>
      </c>
      <c r="M75" s="16">
        <f>(((H75/$B$121)/1000*$H$2)  * $B$121 )/1000</f>
        <v>315.44999243992532</v>
      </c>
      <c r="N75" s="16">
        <f>(((I75/$B$121)/1000*$H$2)  * $B$121 )/1000</f>
        <v>315.44999242888463</v>
      </c>
      <c r="O75" s="16">
        <f>(((J75/$B$121)/1000*$H$2)  * $B$121 )/1000</f>
        <v>315.44999241752834</v>
      </c>
      <c r="Q75" s="19">
        <f>M75-$D75</f>
        <v>-0.88410322674138797</v>
      </c>
      <c r="R75" s="19">
        <f>N75-$D75</f>
        <v>-0.88410323778208522</v>
      </c>
      <c r="S75" s="19">
        <f>O75-$D75</f>
        <v>-0.88410324913837712</v>
      </c>
      <c r="V75" s="20">
        <f t="shared" ref="V75:X75" si="39">ABS(Q75/M75)</f>
        <v>2.8026731587567169E-3</v>
      </c>
      <c r="W75" s="20">
        <f t="shared" si="39"/>
        <v>2.8026731938546436E-3</v>
      </c>
      <c r="X75" s="20">
        <f t="shared" si="39"/>
        <v>2.8026732299558329E-3</v>
      </c>
    </row>
    <row r="76" spans="1:24" ht="15.75" thickTop="1" x14ac:dyDescent="0.25">
      <c r="A76" s="6"/>
      <c r="B76" s="7"/>
      <c r="C76" s="7"/>
      <c r="D76" s="7"/>
      <c r="E76" s="8"/>
      <c r="V76" s="18"/>
      <c r="W76" s="18"/>
      <c r="X76" s="18"/>
    </row>
    <row r="77" spans="1:24" x14ac:dyDescent="0.25">
      <c r="A77" s="6" t="s">
        <v>52</v>
      </c>
      <c r="B77" s="7"/>
      <c r="C77" s="7"/>
      <c r="D77" s="7"/>
      <c r="E77" s="8"/>
      <c r="V77" s="18"/>
      <c r="W77" s="18"/>
      <c r="X77" s="18"/>
    </row>
    <row r="78" spans="1:24" x14ac:dyDescent="0.25">
      <c r="A78" s="6" t="s">
        <v>0</v>
      </c>
      <c r="B78" s="24">
        <f>B$2</f>
        <v>5000</v>
      </c>
      <c r="C78" s="7" t="s">
        <v>26</v>
      </c>
      <c r="D78" s="7"/>
      <c r="E78" s="8"/>
      <c r="V78" s="18"/>
      <c r="W78" s="18"/>
      <c r="X78" s="18"/>
    </row>
    <row r="79" spans="1:24" ht="15.75" thickBot="1" x14ac:dyDescent="0.3">
      <c r="A79" s="6"/>
      <c r="B79" s="7" t="s">
        <v>41</v>
      </c>
      <c r="C79" s="7"/>
      <c r="D79" s="7" t="s">
        <v>42</v>
      </c>
      <c r="E79" s="8"/>
      <c r="V79" s="18"/>
      <c r="W79" s="18"/>
      <c r="X79" s="18"/>
    </row>
    <row r="80" spans="1:24" ht="16.5" thickTop="1" thickBot="1" x14ac:dyDescent="0.3">
      <c r="A80" s="6" t="s">
        <v>3</v>
      </c>
      <c r="B80" s="37">
        <f>(B69)*(1-$G$119)</f>
        <v>2.2226586812281034E-2</v>
      </c>
      <c r="C80" s="7" t="s">
        <v>27</v>
      </c>
      <c r="D80" s="38">
        <f>(B80*B$115)/1000</f>
        <v>3.7854099999995829E-4</v>
      </c>
      <c r="E80" s="8" t="s">
        <v>43</v>
      </c>
      <c r="G80" t="s">
        <v>96</v>
      </c>
      <c r="H80" s="4">
        <v>1.1984499999999999E-6</v>
      </c>
      <c r="I80" s="4">
        <v>1.2000676007179883E-6</v>
      </c>
      <c r="J80" s="4">
        <v>1.201904E-6</v>
      </c>
      <c r="M80" s="16">
        <f>(((H80/$B$115)*1000*$H$2)  * $B$115 )/1000</f>
        <v>3.7805105249999997E-4</v>
      </c>
      <c r="N80" s="16">
        <f>(((I80/$B$115)*1000*$H$2)  * $B$115 )/1000</f>
        <v>3.785613246464894E-4</v>
      </c>
      <c r="O80" s="16">
        <f>(((J80/$B$115)*1000*$H$2)  * $B$115 )/1000</f>
        <v>3.7914061679999994E-4</v>
      </c>
      <c r="Q80" s="19">
        <f>M80-$D80</f>
        <v>-4.899474999583227E-7</v>
      </c>
      <c r="R80" s="19">
        <f>N80-$D80</f>
        <v>2.0324646531110283E-8</v>
      </c>
      <c r="S80" s="19">
        <f>O80-$D80</f>
        <v>5.9961680004165041E-7</v>
      </c>
      <c r="V80" s="20">
        <f t="shared" ref="V80" si="40">ABS(Q80/M80)</f>
        <v>1.2959823725350499E-3</v>
      </c>
      <c r="W80" s="20">
        <f t="shared" ref="W80" si="41">ABS(R80/N80)</f>
        <v>5.3689178497275114E-5</v>
      </c>
      <c r="X80" s="20">
        <f t="shared" ref="X80" si="42">ABS(S80/O80)</f>
        <v>1.5815155999441589E-3</v>
      </c>
    </row>
    <row r="81" spans="1:24" ht="15.75" thickTop="1" x14ac:dyDescent="0.25">
      <c r="A81" s="6" t="s">
        <v>38</v>
      </c>
      <c r="B81" s="37">
        <f>(B70)*(1-$G$119)</f>
        <v>1.1113282292847112E-2</v>
      </c>
      <c r="C81" s="7" t="s">
        <v>27</v>
      </c>
      <c r="D81" s="38">
        <f>B81*B$116/1000</f>
        <v>1.4685091221768173E-3</v>
      </c>
      <c r="E81" s="8" t="s">
        <v>43</v>
      </c>
      <c r="G81" t="s">
        <v>74</v>
      </c>
    </row>
    <row r="82" spans="1:24" x14ac:dyDescent="0.25">
      <c r="A82" s="6" t="s">
        <v>5</v>
      </c>
      <c r="B82" s="37">
        <f>(B71)*(1-$G$118)</f>
        <v>0.11107119279684524</v>
      </c>
      <c r="C82" s="7" t="s">
        <v>27</v>
      </c>
      <c r="D82" s="38">
        <f>(B82*B$117)/1000</f>
        <v>1.7727962011111674E-2</v>
      </c>
      <c r="E82" s="8" t="s">
        <v>43</v>
      </c>
      <c r="G82" t="s">
        <v>75</v>
      </c>
      <c r="V82" s="18"/>
      <c r="W82" s="18"/>
      <c r="X82" s="18"/>
    </row>
    <row r="83" spans="1:24" ht="15.75" thickBot="1" x14ac:dyDescent="0.3">
      <c r="A83" s="6" t="s">
        <v>39</v>
      </c>
      <c r="B83" s="37">
        <f>(B72)*(1-$G$118)</f>
        <v>0.11107119279684524</v>
      </c>
      <c r="C83" s="7" t="s">
        <v>27</v>
      </c>
      <c r="D83" s="38">
        <f>B83*B$118/1000</f>
        <v>1.0619627814499171E-2</v>
      </c>
      <c r="E83" s="8" t="s">
        <v>43</v>
      </c>
      <c r="G83" t="s">
        <v>76</v>
      </c>
      <c r="V83" s="18"/>
      <c r="W83" s="18"/>
      <c r="X83" s="18"/>
    </row>
    <row r="84" spans="1:24" ht="16.5" thickTop="1" thickBot="1" x14ac:dyDescent="0.3">
      <c r="A84" s="6" t="s">
        <v>2</v>
      </c>
      <c r="B84" s="37">
        <f>(B73)*(1-$G$118)</f>
        <v>0.11107130386814912</v>
      </c>
      <c r="C84" s="7" t="s">
        <v>27</v>
      </c>
      <c r="D84" s="38">
        <f>(B84*B$119)/1000</f>
        <v>3.7854100000000034E-3</v>
      </c>
      <c r="E84" s="8" t="s">
        <v>43</v>
      </c>
      <c r="G84" t="s">
        <v>78</v>
      </c>
      <c r="H84" s="4">
        <v>1.198111E-5</v>
      </c>
      <c r="I84" s="4">
        <v>1.2000053191065027E-5</v>
      </c>
      <c r="J84" s="4">
        <v>1.201813E-5</v>
      </c>
      <c r="M84" s="16">
        <f>(((H84/$B$119)*1000*$H$2)  * $B$119 )/1000</f>
        <v>3.7794411494999998E-3</v>
      </c>
      <c r="N84" s="16">
        <f>(((I84/$B$119)*1000*$H$2)  * $B$119 )/1000</f>
        <v>3.785416779121462E-3</v>
      </c>
      <c r="O84" s="16">
        <f>(((J84/$B$119)*1000*$H$2)  * $B$119 )/1000</f>
        <v>3.7911191084999997E-3</v>
      </c>
      <c r="Q84" s="19">
        <f>M84-$D84</f>
        <v>-5.9688505000036161E-6</v>
      </c>
      <c r="R84" s="19">
        <f>N84-$D84</f>
        <v>6.7791214586332416E-9</v>
      </c>
      <c r="S84" s="19">
        <f>O84-$D84</f>
        <v>5.7091084999963231E-6</v>
      </c>
      <c r="V84" s="20">
        <f t="shared" ref="V84" si="43">ABS(Q84/M84)</f>
        <v>1.5792944681234853E-3</v>
      </c>
      <c r="W84" s="20">
        <f t="shared" ref="W84" si="44">ABS(R84/N84)</f>
        <v>1.7908520657549822E-6</v>
      </c>
      <c r="X84" s="20">
        <f t="shared" ref="X84" si="45">ABS(S84/O84)</f>
        <v>1.5059164158667646E-3</v>
      </c>
    </row>
    <row r="85" spans="1:24" ht="16.5" thickTop="1" thickBot="1" x14ac:dyDescent="0.3">
      <c r="A85" s="6" t="s">
        <v>47</v>
      </c>
      <c r="B85" s="37">
        <f>(B74)*(1-$G$118)</f>
        <v>6.1630193268399634E-5</v>
      </c>
      <c r="C85" s="7" t="s">
        <v>27</v>
      </c>
      <c r="D85" s="38">
        <f>B85*B$120/1000</f>
        <v>6.0446277255713671E-6</v>
      </c>
      <c r="E85" s="8" t="s">
        <v>43</v>
      </c>
      <c r="G85" t="s">
        <v>77</v>
      </c>
      <c r="V85" s="18"/>
      <c r="W85" s="18"/>
      <c r="X85" s="18"/>
    </row>
    <row r="86" spans="1:24" ht="16.5" thickTop="1" thickBot="1" x14ac:dyDescent="0.3">
      <c r="A86" s="6" t="s">
        <v>4</v>
      </c>
      <c r="B86" s="36">
        <f>B$11</f>
        <v>17559.210607143861</v>
      </c>
      <c r="C86" s="7" t="s">
        <v>27</v>
      </c>
      <c r="D86" s="34">
        <f>B86*B$121/1000</f>
        <v>316.33409566666671</v>
      </c>
      <c r="E86" s="8" t="s">
        <v>43</v>
      </c>
      <c r="G86" t="s">
        <v>73</v>
      </c>
      <c r="H86" s="4">
        <f>1000000-(H84+H81)</f>
        <v>999999.99998801888</v>
      </c>
      <c r="I86" s="4">
        <f>1000000-(I84+I81)</f>
        <v>999999.99998799991</v>
      </c>
      <c r="J86" s="4">
        <f t="shared" ref="J86" si="46">1000000-(J84+J81)</f>
        <v>999999.99998798186</v>
      </c>
      <c r="M86" s="16">
        <f>(((H86/$B$121)/1000*$H$2)  * $B$121 )/1000</f>
        <v>315.44999999622053</v>
      </c>
      <c r="N86" s="16">
        <f>(((I86/$B$121)/1000*$H$2)  * $B$121 )/1000</f>
        <v>315.44999999621456</v>
      </c>
      <c r="O86" s="16">
        <f>(((J86/$B$121)/1000*$H$2)  * $B$121 )/1000</f>
        <v>315.44999999620887</v>
      </c>
      <c r="Q86" s="19">
        <f>M86-$D86</f>
        <v>-0.88409567044618598</v>
      </c>
      <c r="R86" s="19">
        <f>N86-$D86</f>
        <v>-0.88409567045215454</v>
      </c>
      <c r="S86" s="19">
        <f>O86-$D86</f>
        <v>-0.88409567045783888</v>
      </c>
      <c r="V86" s="20">
        <f t="shared" ref="V86:X86" si="47">ABS(Q86/M86)</f>
        <v>2.8026491376027217E-3</v>
      </c>
      <c r="W86" s="20">
        <f t="shared" si="47"/>
        <v>2.8026491376216952E-3</v>
      </c>
      <c r="X86" s="20">
        <f t="shared" si="47"/>
        <v>2.8026491376397658E-3</v>
      </c>
    </row>
    <row r="87" spans="1:24" ht="15.75" thickTop="1" x14ac:dyDescent="0.25">
      <c r="A87" s="6"/>
      <c r="B87" s="7"/>
      <c r="C87" s="7"/>
      <c r="D87" s="7"/>
      <c r="E87" s="8"/>
      <c r="V87" s="18"/>
      <c r="W87" s="18"/>
      <c r="X87" s="18"/>
    </row>
    <row r="88" spans="1:24" x14ac:dyDescent="0.25">
      <c r="A88" s="6" t="s">
        <v>53</v>
      </c>
      <c r="B88" s="7"/>
      <c r="C88" s="7"/>
      <c r="D88" s="7"/>
      <c r="E88" s="8"/>
      <c r="V88" s="18"/>
      <c r="W88" s="18"/>
      <c r="X88" s="18"/>
    </row>
    <row r="89" spans="1:24" x14ac:dyDescent="0.25">
      <c r="A89" s="6" t="s">
        <v>0</v>
      </c>
      <c r="B89" s="24">
        <f>B$2</f>
        <v>5000</v>
      </c>
      <c r="C89" s="7" t="s">
        <v>26</v>
      </c>
      <c r="D89" s="7"/>
      <c r="E89" s="8"/>
      <c r="V89" s="18"/>
      <c r="W89" s="18"/>
      <c r="X89" s="18"/>
    </row>
    <row r="90" spans="1:24" ht="15.75" thickBot="1" x14ac:dyDescent="0.3">
      <c r="A90" s="6"/>
      <c r="B90" s="7" t="s">
        <v>41</v>
      </c>
      <c r="C90" s="7"/>
      <c r="D90" s="7" t="s">
        <v>42</v>
      </c>
      <c r="E90" s="8"/>
      <c r="V90" s="18"/>
      <c r="W90" s="18"/>
      <c r="X90" s="18"/>
    </row>
    <row r="91" spans="1:24" ht="16.5" thickTop="1" thickBot="1" x14ac:dyDescent="0.3">
      <c r="A91" s="6" t="s">
        <v>3</v>
      </c>
      <c r="B91" s="37">
        <f>(B80)*(1-$G$121)</f>
        <v>2.2226586812278585E-6</v>
      </c>
      <c r="C91" s="7" t="s">
        <v>27</v>
      </c>
      <c r="D91" s="39">
        <f>(B91*B$115)/1000</f>
        <v>3.785409999999165E-8</v>
      </c>
      <c r="E91" s="8" t="s">
        <v>43</v>
      </c>
      <c r="G91" t="s">
        <v>84</v>
      </c>
      <c r="H91" s="4">
        <v>1.1984E-10</v>
      </c>
      <c r="I91" s="4">
        <v>1.2000683486238335E-10</v>
      </c>
      <c r="J91" s="4">
        <v>1.2019E-10</v>
      </c>
      <c r="M91" s="16">
        <f>(((H91/$B$115)*1000*$H$2)  * $B$115 )/1000</f>
        <v>3.7803528000000001E-8</v>
      </c>
      <c r="N91" s="16">
        <f>(((I91/$B$115)*1000*$H$2)  * $B$115 )/1000</f>
        <v>3.7856156057338832E-8</v>
      </c>
      <c r="O91" s="16">
        <f>(((J91/$B$115)*1000*$H$2)  * $B$115 )/1000</f>
        <v>3.7913935500000002E-8</v>
      </c>
      <c r="Q91" s="19">
        <f>M91-$D91</f>
        <v>-5.057199999164959E-11</v>
      </c>
      <c r="R91" s="19">
        <f>N91-$D91</f>
        <v>2.0560573471814379E-12</v>
      </c>
      <c r="S91" s="19">
        <f>O91-$D91</f>
        <v>5.9835500008351924E-11</v>
      </c>
      <c r="V91" s="20">
        <f t="shared" ref="V91" si="48">ABS(Q91/M91)</f>
        <v>1.3377587401802707E-3</v>
      </c>
      <c r="W91" s="20">
        <f t="shared" ref="W91" si="49">ABS(R91/N91)</f>
        <v>5.4312364521829169E-5</v>
      </c>
      <c r="X91" s="20">
        <f t="shared" ref="X91" si="50">ABS(S91/O91)</f>
        <v>1.5781927995407367E-3</v>
      </c>
    </row>
    <row r="92" spans="1:24" ht="15.75" thickTop="1" x14ac:dyDescent="0.25">
      <c r="A92" s="6" t="s">
        <v>38</v>
      </c>
      <c r="B92" s="37">
        <f>(B81)*(1-$G$121)</f>
        <v>1.1113282292845887E-6</v>
      </c>
      <c r="C92" s="7" t="s">
        <v>27</v>
      </c>
      <c r="D92" s="39">
        <f>B92*B$116/1000</f>
        <v>1.4685091221766554E-7</v>
      </c>
      <c r="E92" s="8" t="s">
        <v>43</v>
      </c>
      <c r="G92" t="s">
        <v>79</v>
      </c>
      <c r="V92" s="18"/>
      <c r="W92" s="18"/>
      <c r="X92" s="18"/>
    </row>
    <row r="93" spans="1:24" x14ac:dyDescent="0.25">
      <c r="A93" s="6" t="s">
        <v>5</v>
      </c>
      <c r="B93" s="37">
        <f>(B82)*(1-$G$120)</f>
        <v>1.1107119279684534E-4</v>
      </c>
      <c r="C93" s="7" t="s">
        <v>27</v>
      </c>
      <c r="D93" s="39">
        <f>(B93*B$117)/1000</f>
        <v>1.7727962011111686E-5</v>
      </c>
      <c r="E93" s="8" t="s">
        <v>43</v>
      </c>
      <c r="G93" t="s">
        <v>80</v>
      </c>
      <c r="V93" s="18"/>
      <c r="W93" s="18"/>
      <c r="X93" s="18"/>
    </row>
    <row r="94" spans="1:24" ht="15.75" thickBot="1" x14ac:dyDescent="0.3">
      <c r="A94" s="6" t="s">
        <v>39</v>
      </c>
      <c r="B94" s="37">
        <f>(B83)*(1-$G$120)</f>
        <v>1.1107119279684534E-4</v>
      </c>
      <c r="C94" s="7" t="s">
        <v>27</v>
      </c>
      <c r="D94" s="39">
        <f>B94*B$118/1000</f>
        <v>1.0619627814499179E-5</v>
      </c>
      <c r="E94" s="8" t="s">
        <v>43</v>
      </c>
      <c r="G94" t="s">
        <v>81</v>
      </c>
      <c r="V94" s="18"/>
      <c r="W94" s="18"/>
      <c r="X94" s="18"/>
    </row>
    <row r="95" spans="1:24" ht="16.5" thickTop="1" thickBot="1" x14ac:dyDescent="0.3">
      <c r="A95" s="6" t="s">
        <v>2</v>
      </c>
      <c r="B95" s="37">
        <f>(B84)*(1-$G$120)</f>
        <v>1.1107130386814921E-4</v>
      </c>
      <c r="C95" s="7" t="s">
        <v>27</v>
      </c>
      <c r="D95" s="39">
        <f>(B95*B$119)/1000</f>
        <v>3.7854100000000064E-6</v>
      </c>
      <c r="E95" s="8" t="s">
        <v>43</v>
      </c>
      <c r="G95" t="s">
        <v>83</v>
      </c>
      <c r="H95" s="4">
        <v>1.1981E-8</v>
      </c>
      <c r="I95" s="4">
        <v>1.2000055245313139E-8</v>
      </c>
      <c r="J95" s="4">
        <v>1.2018E-8</v>
      </c>
      <c r="M95" s="16">
        <f>(((H95/$B$119)*1000*$H$2)  * $B$119 )/1000</f>
        <v>3.7794064500000001E-6</v>
      </c>
      <c r="N95" s="16">
        <f>(((I95/$B$119)*1000*$H$2)  * $B$119 )/1000</f>
        <v>3.7854174271340303E-6</v>
      </c>
      <c r="O95" s="16">
        <f>(((J95/$B$119)*1000*$H$2)  * $B$119 )/1000</f>
        <v>3.7910781000000002E-6</v>
      </c>
      <c r="Q95" s="19">
        <f>M95-$D95</f>
        <v>-6.0035500000063404E-9</v>
      </c>
      <c r="R95" s="19">
        <f>N95-$D95</f>
        <v>7.4271340238478824E-12</v>
      </c>
      <c r="S95" s="19">
        <f>O95-$D95</f>
        <v>5.6680999999937667E-9</v>
      </c>
      <c r="V95" s="20">
        <f t="shared" ref="V95" si="51">ABS(Q95/M95)</f>
        <v>1.5884901715205414E-3</v>
      </c>
      <c r="W95" s="20">
        <f t="shared" ref="W95" si="52">ABS(R95/N95)</f>
        <v>1.962038313294031E-6</v>
      </c>
      <c r="X95" s="20">
        <f t="shared" ref="X95" si="53">ABS(S95/O95)</f>
        <v>1.4951155978542795E-3</v>
      </c>
    </row>
    <row r="96" spans="1:24" ht="16.5" thickTop="1" thickBot="1" x14ac:dyDescent="0.3">
      <c r="A96" s="6" t="s">
        <v>47</v>
      </c>
      <c r="B96" s="37">
        <f>(B85)*(1-$G$120)</f>
        <v>6.1630193268399689E-8</v>
      </c>
      <c r="C96" s="7" t="s">
        <v>27</v>
      </c>
      <c r="D96" s="39">
        <f>B96*B$120/1000</f>
        <v>6.0446277255713731E-9</v>
      </c>
      <c r="E96" s="8" t="s">
        <v>43</v>
      </c>
      <c r="G96" t="s">
        <v>82</v>
      </c>
      <c r="V96" s="18"/>
      <c r="W96" s="18"/>
      <c r="X96" s="18"/>
    </row>
    <row r="97" spans="1:24" ht="16.5" thickTop="1" thickBot="1" x14ac:dyDescent="0.3">
      <c r="A97" s="23" t="s">
        <v>4</v>
      </c>
      <c r="B97" s="40">
        <f>B$11</f>
        <v>17559.210607143861</v>
      </c>
      <c r="C97" s="11" t="s">
        <v>27</v>
      </c>
      <c r="D97" s="41">
        <f>B97*B$121/1000</f>
        <v>316.33409566666671</v>
      </c>
      <c r="E97" s="12" t="s">
        <v>43</v>
      </c>
      <c r="G97" t="s">
        <v>67</v>
      </c>
      <c r="H97" s="4">
        <v>999999.99999617098</v>
      </c>
      <c r="I97" s="4">
        <v>999999.99999618495</v>
      </c>
      <c r="J97" s="4">
        <v>999999.99999618297</v>
      </c>
      <c r="M97" s="16">
        <f>(((H97/$B$121)/1000*$H$2)  * $B$121 )/1000</f>
        <v>315.44999999879212</v>
      </c>
      <c r="N97" s="16">
        <f>(((I97/$B$121)/1000*$H$2)  * $B$121 )/1000</f>
        <v>315.4499999987965</v>
      </c>
      <c r="O97" s="16">
        <f>(((J97/$B$121)/1000*$H$2)  * $B$121 )/1000</f>
        <v>315.44999999879587</v>
      </c>
      <c r="Q97" s="19">
        <f>M97-$D97</f>
        <v>-0.88409566787458971</v>
      </c>
      <c r="R97" s="19">
        <f>N97-$D97</f>
        <v>-0.88409566787021276</v>
      </c>
      <c r="S97" s="19">
        <f>O97-$D97</f>
        <v>-0.88409566787083804</v>
      </c>
      <c r="V97" s="20">
        <f t="shared" ref="V97:X97" si="54">ABS(Q97/M97)</f>
        <v>2.8026491294277224E-3</v>
      </c>
      <c r="W97" s="20">
        <f t="shared" si="54"/>
        <v>2.8026491294138082E-3</v>
      </c>
      <c r="X97" s="20">
        <f t="shared" si="54"/>
        <v>2.8026491294157957E-3</v>
      </c>
    </row>
    <row r="98" spans="1:24" x14ac:dyDescent="0.25">
      <c r="U98" t="s">
        <v>93</v>
      </c>
      <c r="V98" s="18">
        <f>MIN(V2:V13,V19,V69:V97)</f>
        <v>2.6417287473808424E-6</v>
      </c>
      <c r="W98" s="18">
        <f>MIN(W2:W13,W19,W69:W97)</f>
        <v>1.7069546214424751E-6</v>
      </c>
      <c r="X98" s="18">
        <f>MIN(X2:X13,X19,X69:X97)</f>
        <v>2.6417287473808424E-6</v>
      </c>
    </row>
    <row r="99" spans="1:24" x14ac:dyDescent="0.25">
      <c r="U99" t="s">
        <v>94</v>
      </c>
      <c r="V99" s="18">
        <f>AVERAGE(V2:V13,V19,V69:V97)</f>
        <v>1.6759023382435499E-3</v>
      </c>
      <c r="W99" s="18">
        <f>AVERAGE(W2:W13,W19,W69:W97)</f>
        <v>6.7390991794780369E-4</v>
      </c>
      <c r="X99" s="18">
        <f>AVERAGE(X2:X13,X19,X69:X97)</f>
        <v>1.6873204502229971E-3</v>
      </c>
    </row>
    <row r="100" spans="1:24" x14ac:dyDescent="0.25">
      <c r="U100" t="s">
        <v>95</v>
      </c>
      <c r="V100" s="18">
        <f>MAX(V2:V13,V19,V69:V97)</f>
        <v>2.8266780561860866E-3</v>
      </c>
      <c r="W100" s="18">
        <f>MAX(W2:W13,W19,W69:W97)</f>
        <v>2.8267169800227031E-3</v>
      </c>
      <c r="X100" s="18">
        <f>MAX(X2:X13,X19,X69:X97)</f>
        <v>2.8267542427601257E-3</v>
      </c>
    </row>
    <row r="112" spans="1:24" ht="15.75" thickBot="1" x14ac:dyDescent="0.3"/>
    <row r="113" spans="1:7" ht="15.75" thickBot="1" x14ac:dyDescent="0.3">
      <c r="A113" s="43" t="s">
        <v>98</v>
      </c>
      <c r="B113" s="44"/>
      <c r="C113" s="44"/>
      <c r="D113" s="44"/>
      <c r="E113" s="44"/>
      <c r="F113" s="44"/>
      <c r="G113" s="45"/>
    </row>
    <row r="114" spans="1:7" x14ac:dyDescent="0.25">
      <c r="A114" s="5" t="s">
        <v>12</v>
      </c>
      <c r="B114" s="42" t="s">
        <v>13</v>
      </c>
      <c r="C114" s="42"/>
      <c r="D114" s="21">
        <v>1</v>
      </c>
      <c r="E114" s="21" t="s">
        <v>23</v>
      </c>
      <c r="F114" s="21" t="s">
        <v>24</v>
      </c>
      <c r="G114" s="22">
        <f>1/1000</f>
        <v>1E-3</v>
      </c>
    </row>
    <row r="115" spans="1:7" x14ac:dyDescent="0.25">
      <c r="A115" s="6" t="s">
        <v>14</v>
      </c>
      <c r="B115" s="7">
        <v>17.030999999999999</v>
      </c>
      <c r="C115" s="7" t="s">
        <v>21</v>
      </c>
      <c r="D115" s="7">
        <v>1</v>
      </c>
      <c r="E115" s="7" t="s">
        <v>26</v>
      </c>
      <c r="F115" s="7" t="s">
        <v>24</v>
      </c>
      <c r="G115" s="8">
        <v>3.7854100000000002</v>
      </c>
    </row>
    <row r="116" spans="1:7" x14ac:dyDescent="0.25">
      <c r="A116" s="6" t="s">
        <v>17</v>
      </c>
      <c r="B116" s="7">
        <v>132.13999999999999</v>
      </c>
      <c r="C116" s="7" t="s">
        <v>21</v>
      </c>
      <c r="D116" s="7">
        <v>1</v>
      </c>
      <c r="E116" s="7" t="s">
        <v>50</v>
      </c>
      <c r="F116" s="7" t="s">
        <v>24</v>
      </c>
      <c r="G116" s="8">
        <v>0.99999899999999997</v>
      </c>
    </row>
    <row r="117" spans="1:7" x14ac:dyDescent="0.25">
      <c r="A117" s="6" t="s">
        <v>15</v>
      </c>
      <c r="B117" s="7">
        <v>159.60900000000001</v>
      </c>
      <c r="C117" s="7" t="s">
        <v>21</v>
      </c>
      <c r="D117" s="7">
        <v>1</v>
      </c>
      <c r="E117" s="7" t="s">
        <v>51</v>
      </c>
      <c r="F117" s="7" t="s">
        <v>24</v>
      </c>
      <c r="G117" s="8">
        <f>G116/2</f>
        <v>0.49999949999999999</v>
      </c>
    </row>
    <row r="118" spans="1:7" x14ac:dyDescent="0.25">
      <c r="A118" s="6" t="s">
        <v>16</v>
      </c>
      <c r="B118" s="7">
        <v>95.611000000000004</v>
      </c>
      <c r="C118" s="7" t="s">
        <v>21</v>
      </c>
      <c r="D118" s="7"/>
      <c r="E118" s="7" t="s">
        <v>88</v>
      </c>
      <c r="F118" s="7" t="s">
        <v>24</v>
      </c>
      <c r="G118" s="8">
        <v>0.999</v>
      </c>
    </row>
    <row r="119" spans="1:7" x14ac:dyDescent="0.25">
      <c r="A119" s="6" t="s">
        <v>18</v>
      </c>
      <c r="B119" s="7">
        <v>34.0809</v>
      </c>
      <c r="C119" s="7" t="s">
        <v>21</v>
      </c>
      <c r="D119" s="7"/>
      <c r="E119" s="7" t="s">
        <v>87</v>
      </c>
      <c r="F119" s="7" t="s">
        <v>24</v>
      </c>
      <c r="G119" s="8">
        <v>0.99990000000000001</v>
      </c>
    </row>
    <row r="120" spans="1:7" x14ac:dyDescent="0.25">
      <c r="A120" s="6" t="s">
        <v>19</v>
      </c>
      <c r="B120" s="7">
        <v>98.078999999999994</v>
      </c>
      <c r="C120" s="7" t="s">
        <v>21</v>
      </c>
      <c r="D120" s="7"/>
      <c r="E120" s="7" t="s">
        <v>89</v>
      </c>
      <c r="F120" s="7" t="s">
        <v>24</v>
      </c>
      <c r="G120" s="8">
        <v>0.999</v>
      </c>
    </row>
    <row r="121" spans="1:7" x14ac:dyDescent="0.25">
      <c r="A121" s="6" t="s">
        <v>20</v>
      </c>
      <c r="B121" s="7">
        <v>18.015280000000001</v>
      </c>
      <c r="C121" s="7" t="s">
        <v>21</v>
      </c>
      <c r="D121" s="7"/>
      <c r="E121" s="7" t="s">
        <v>90</v>
      </c>
      <c r="F121" s="7" t="s">
        <v>24</v>
      </c>
      <c r="G121" s="8">
        <v>0.99990000000000001</v>
      </c>
    </row>
    <row r="122" spans="1:7" x14ac:dyDescent="0.25">
      <c r="A122" s="10" t="s">
        <v>30</v>
      </c>
      <c r="B122" s="7">
        <f>B11</f>
        <v>17559.210607143861</v>
      </c>
      <c r="C122" s="7" t="s">
        <v>33</v>
      </c>
      <c r="D122" s="7"/>
      <c r="E122" s="7"/>
      <c r="F122" s="7"/>
      <c r="G122" s="8"/>
    </row>
    <row r="123" spans="1:7" x14ac:dyDescent="0.25">
      <c r="A123" s="10" t="s">
        <v>31</v>
      </c>
      <c r="B123" s="7">
        <v>8.3144620000000007</v>
      </c>
      <c r="C123" s="7" t="s">
        <v>36</v>
      </c>
      <c r="D123" s="7"/>
      <c r="E123" s="7"/>
      <c r="F123" s="7"/>
      <c r="G123" s="8"/>
    </row>
    <row r="124" spans="1:7" x14ac:dyDescent="0.25">
      <c r="A124" s="10" t="s">
        <v>32</v>
      </c>
      <c r="B124" s="7">
        <v>290</v>
      </c>
      <c r="C124" s="7" t="s">
        <v>34</v>
      </c>
      <c r="D124" s="7"/>
      <c r="E124" s="7"/>
      <c r="F124" s="7"/>
      <c r="G124" s="8"/>
    </row>
    <row r="125" spans="1:7" x14ac:dyDescent="0.25">
      <c r="A125" s="6" t="s">
        <v>28</v>
      </c>
      <c r="B125" s="7">
        <v>1002.8</v>
      </c>
      <c r="C125" s="7" t="s">
        <v>25</v>
      </c>
      <c r="D125" s="7"/>
      <c r="E125" s="7"/>
      <c r="F125" s="7"/>
      <c r="G125" s="8"/>
    </row>
    <row r="126" spans="1:7" ht="15.75" thickBot="1" x14ac:dyDescent="0.3">
      <c r="A126" s="23" t="s">
        <v>54</v>
      </c>
      <c r="B126" s="11">
        <v>0.8</v>
      </c>
      <c r="C126" s="11"/>
      <c r="D126" s="11"/>
      <c r="E126" s="11"/>
      <c r="F126" s="11"/>
      <c r="G126" s="12"/>
    </row>
  </sheetData>
  <mergeCells count="6">
    <mergeCell ref="A1:C1"/>
    <mergeCell ref="A8:E8"/>
    <mergeCell ref="A113:G113"/>
    <mergeCell ref="M1:O1"/>
    <mergeCell ref="Q1:S1"/>
    <mergeCell ref="V1:X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opLeftCell="H82" workbookViewId="0">
      <selection activeCell="S3" sqref="S3"/>
    </sheetView>
  </sheetViews>
  <sheetFormatPr defaultRowHeight="15" x14ac:dyDescent="0.25"/>
  <cols>
    <col min="1" max="1" width="34.28515625" bestFit="1" customWidth="1"/>
    <col min="2" max="2" width="14.5703125" bestFit="1" customWidth="1"/>
    <col min="3" max="5" width="9.5703125" customWidth="1"/>
    <col min="6" max="6" width="18.42578125" bestFit="1" customWidth="1"/>
    <col min="7" max="7" width="45.7109375" bestFit="1" customWidth="1"/>
    <col min="8" max="8" width="15.28515625" bestFit="1" customWidth="1"/>
    <col min="9" max="9" width="15.140625" bestFit="1" customWidth="1"/>
    <col min="10" max="10" width="16.42578125" bestFit="1" customWidth="1"/>
    <col min="11" max="12" width="9.5703125" customWidth="1"/>
    <col min="13" max="15" width="12" bestFit="1" customWidth="1"/>
    <col min="16" max="18" width="9.5703125" customWidth="1"/>
    <col min="19" max="19" width="20.5703125" customWidth="1"/>
    <col min="22" max="24" width="11.140625" bestFit="1" customWidth="1"/>
    <col min="25" max="25" width="7.140625" customWidth="1"/>
    <col min="26" max="26" width="7.5703125" customWidth="1"/>
    <col min="27" max="27" width="5.42578125" customWidth="1"/>
  </cols>
  <sheetData>
    <row r="1" spans="1:24" ht="15.75" thickBot="1" x14ac:dyDescent="0.3">
      <c r="A1" s="27" t="s">
        <v>99</v>
      </c>
      <c r="B1" s="28"/>
      <c r="C1" s="29"/>
      <c r="G1" s="3" t="s">
        <v>60</v>
      </c>
      <c r="H1" s="3" t="s">
        <v>55</v>
      </c>
      <c r="I1" s="3" t="s">
        <v>56</v>
      </c>
      <c r="J1" s="3" t="s">
        <v>57</v>
      </c>
      <c r="K1" s="2"/>
      <c r="L1" s="2"/>
      <c r="M1" s="47" t="s">
        <v>85</v>
      </c>
      <c r="N1" s="47"/>
      <c r="O1" s="47"/>
      <c r="P1" s="14"/>
      <c r="Q1" s="49" t="s">
        <v>91</v>
      </c>
      <c r="R1" s="49"/>
      <c r="S1" s="49"/>
      <c r="V1" s="13" t="s">
        <v>92</v>
      </c>
      <c r="W1" s="13"/>
      <c r="X1" s="13"/>
    </row>
    <row r="2" spans="1:24" ht="16.5" thickTop="1" thickBot="1" x14ac:dyDescent="0.3">
      <c r="A2" s="6" t="s">
        <v>0</v>
      </c>
      <c r="B2" s="25">
        <v>5000</v>
      </c>
      <c r="C2" s="8" t="s">
        <v>22</v>
      </c>
      <c r="G2" s="15" t="s">
        <v>59</v>
      </c>
      <c r="H2" s="4">
        <v>315.45</v>
      </c>
      <c r="I2" s="4">
        <v>315.45</v>
      </c>
      <c r="J2" s="4">
        <v>315.45</v>
      </c>
      <c r="M2" s="16">
        <f>(H2/$G$115)*60</f>
        <v>4999.9867913911567</v>
      </c>
      <c r="N2" s="16">
        <f>(I2/$G$115)*60</f>
        <v>4999.9867913911567</v>
      </c>
      <c r="O2" s="16">
        <f>(J2/$G$115)*60</f>
        <v>4999.9867913911567</v>
      </c>
      <c r="Q2" s="19">
        <f>M2-$B2</f>
        <v>-1.3208608843342518E-2</v>
      </c>
      <c r="R2" s="19">
        <f>N2-$B2</f>
        <v>-1.3208608843342518E-2</v>
      </c>
      <c r="S2" s="19">
        <f>O2-$B2</f>
        <v>-1.3208608843342518E-2</v>
      </c>
      <c r="V2" s="20">
        <f t="shared" ref="V2:X3" si="0">ABS(Q2/M2)</f>
        <v>2.6417287473808424E-6</v>
      </c>
      <c r="W2" s="20">
        <f t="shared" si="0"/>
        <v>2.6417287473808424E-6</v>
      </c>
      <c r="X2" s="20">
        <f t="shared" si="0"/>
        <v>2.6417287473808424E-6</v>
      </c>
    </row>
    <row r="3" spans="1:24" ht="16.5" thickTop="1" thickBot="1" x14ac:dyDescent="0.3">
      <c r="A3" s="10" t="s">
        <v>29</v>
      </c>
      <c r="B3" s="9">
        <f>(70000-100)/1.1</f>
        <v>63545.454545454537</v>
      </c>
      <c r="C3" s="8" t="s">
        <v>35</v>
      </c>
    </row>
    <row r="4" spans="1:24" ht="16.5" thickTop="1" thickBot="1" x14ac:dyDescent="0.3">
      <c r="A4" s="6" t="s">
        <v>58</v>
      </c>
      <c r="B4" s="25">
        <v>0</v>
      </c>
      <c r="C4" s="8" t="s">
        <v>23</v>
      </c>
      <c r="G4" t="s">
        <v>58</v>
      </c>
      <c r="H4" s="4">
        <v>0</v>
      </c>
      <c r="I4" s="4">
        <v>0</v>
      </c>
      <c r="J4" s="4">
        <v>0</v>
      </c>
      <c r="M4" s="16">
        <f>H4</f>
        <v>0</v>
      </c>
      <c r="N4" s="16">
        <f>I4</f>
        <v>0</v>
      </c>
      <c r="O4" s="16">
        <f>J4</f>
        <v>0</v>
      </c>
      <c r="Q4" s="19">
        <f>M4-$B4</f>
        <v>0</v>
      </c>
      <c r="R4" s="19">
        <f>N4-$B4</f>
        <v>0</v>
      </c>
      <c r="S4" s="19">
        <f>O4-$B4</f>
        <v>0</v>
      </c>
      <c r="V4" s="20">
        <v>0</v>
      </c>
      <c r="W4" s="20">
        <v>0</v>
      </c>
      <c r="X4" s="20">
        <v>0</v>
      </c>
    </row>
    <row r="5" spans="1:24" ht="16.5" thickTop="1" thickBot="1" x14ac:dyDescent="0.3">
      <c r="A5" s="23" t="s">
        <v>1</v>
      </c>
      <c r="B5" s="26">
        <v>12000</v>
      </c>
      <c r="C5" s="12" t="s">
        <v>23</v>
      </c>
      <c r="G5" t="s">
        <v>1</v>
      </c>
      <c r="H5" s="4">
        <v>11981.11</v>
      </c>
      <c r="I5" s="4">
        <v>12000.047993284627</v>
      </c>
      <c r="J5" s="4">
        <v>12018.13</v>
      </c>
      <c r="M5" s="16">
        <f>H5</f>
        <v>11981.11</v>
      </c>
      <c r="N5" s="16">
        <f>I5</f>
        <v>12000.047993284627</v>
      </c>
      <c r="O5" s="16">
        <f>J5</f>
        <v>12018.13</v>
      </c>
      <c r="Q5" s="19">
        <f>M5-$B5</f>
        <v>-18.889999999999418</v>
      </c>
      <c r="R5" s="19">
        <f>N5-$B5</f>
        <v>4.7993284626500099E-2</v>
      </c>
      <c r="S5" s="19">
        <f>O5-$B5</f>
        <v>18.1299999999992</v>
      </c>
      <c r="V5" s="20">
        <f t="shared" ref="V4:V5" si="1">ABS(Q5/M5)</f>
        <v>1.5766485742973245E-3</v>
      </c>
      <c r="W5" s="20">
        <f t="shared" ref="W4:W5" si="2">ABS(R5/N5)</f>
        <v>3.9994243900822502E-6</v>
      </c>
      <c r="X5" s="20">
        <f t="shared" ref="X4:X5" si="3">ABS(S5/O5)</f>
        <v>1.5085541594240701E-3</v>
      </c>
    </row>
    <row r="7" spans="1:24" ht="15.75" thickBot="1" x14ac:dyDescent="0.3">
      <c r="E7" s="46"/>
    </row>
    <row r="8" spans="1:24" ht="15.75" thickBot="1" x14ac:dyDescent="0.3">
      <c r="A8" s="27" t="s">
        <v>100</v>
      </c>
      <c r="B8" s="28"/>
      <c r="C8" s="28"/>
      <c r="D8" s="28"/>
      <c r="E8" s="29"/>
    </row>
    <row r="9" spans="1:24" ht="16.5" thickTop="1" thickBot="1" x14ac:dyDescent="0.3">
      <c r="A9" s="6" t="s">
        <v>2</v>
      </c>
      <c r="B9" s="7">
        <f>B5*B2*G115/B119/60*G114</f>
        <v>111.07130386814902</v>
      </c>
      <c r="C9" s="7" t="s">
        <v>27</v>
      </c>
      <c r="D9" s="7">
        <f>B$9*B$119/1000</f>
        <v>3.7854099999999997</v>
      </c>
      <c r="E9" s="8" t="s">
        <v>43</v>
      </c>
      <c r="G9" t="s">
        <v>1</v>
      </c>
      <c r="H9" s="4">
        <f>H5</f>
        <v>11981.11</v>
      </c>
      <c r="I9" s="4">
        <f t="shared" ref="I9:J9" si="4">I5</f>
        <v>12000.047993284627</v>
      </c>
      <c r="J9" s="4">
        <f t="shared" si="4"/>
        <v>12018.13</v>
      </c>
      <c r="M9" s="16">
        <f>(((H9/$B$119)/1000*$H$2)  * $B$119 )/1000</f>
        <v>3.7794411494999998</v>
      </c>
      <c r="N9" s="16">
        <f>(((I9/$B$119)/1000*$H$2)  * $B$119 )/1000</f>
        <v>3.7854151394816351</v>
      </c>
      <c r="O9" s="16">
        <f>(((J9/$B$119)/1000*$H$2)  * $B$119 )/1000</f>
        <v>3.7911191084999993</v>
      </c>
      <c r="Q9" s="19">
        <f>M9-$D9</f>
        <v>-5.9688504999999559E-3</v>
      </c>
      <c r="R9" s="19">
        <f>N9-$D9</f>
        <v>5.1394816353855788E-6</v>
      </c>
      <c r="S9" s="19">
        <f>O9-$D9</f>
        <v>5.7091084999996156E-3</v>
      </c>
      <c r="V9" s="20">
        <f t="shared" ref="V9" si="5">ABS(Q9/M9)</f>
        <v>1.5792944681225168E-3</v>
      </c>
      <c r="W9" s="20">
        <f t="shared" ref="W9" si="6">ABS(R9/N9)</f>
        <v>1.3577062081728151E-6</v>
      </c>
      <c r="X9" s="20">
        <f t="shared" ref="X9" si="7">ABS(S9/O9)</f>
        <v>1.5059164158676332E-3</v>
      </c>
    </row>
    <row r="10" spans="1:24" ht="16.5" thickTop="1" thickBot="1" x14ac:dyDescent="0.3">
      <c r="A10" s="6" t="s">
        <v>3</v>
      </c>
      <c r="B10" s="7">
        <f>B4*B2*G115/B115/60*G114</f>
        <v>0</v>
      </c>
      <c r="C10" s="7" t="s">
        <v>27</v>
      </c>
      <c r="D10" s="7">
        <f>B10*B115/1000</f>
        <v>0</v>
      </c>
      <c r="E10" s="8" t="s">
        <v>43</v>
      </c>
      <c r="G10" t="s">
        <v>58</v>
      </c>
      <c r="H10" s="4">
        <f>H4</f>
        <v>0</v>
      </c>
      <c r="I10" s="4">
        <f t="shared" ref="I10:J10" si="8">I4</f>
        <v>0</v>
      </c>
      <c r="J10" s="4">
        <f t="shared" si="8"/>
        <v>0</v>
      </c>
      <c r="M10" s="16">
        <f>(((H10/$B$115)/1000*$H$2)  * $B$115 )/1000</f>
        <v>0</v>
      </c>
      <c r="N10" s="16">
        <f>(((I10/$B$115)/1000*$H$2)  * $B$115 )/1000</f>
        <v>0</v>
      </c>
      <c r="O10" s="16">
        <f>(((J10/$B$115)/1000*$H$2)  * $B$115 )/1000</f>
        <v>0</v>
      </c>
      <c r="Q10" s="19">
        <f>M10-$D10</f>
        <v>0</v>
      </c>
      <c r="R10" s="19">
        <f>N10-$D10</f>
        <v>0</v>
      </c>
      <c r="S10" s="19">
        <f>O10-$D10</f>
        <v>0</v>
      </c>
      <c r="V10" s="20">
        <v>0</v>
      </c>
      <c r="W10" s="20">
        <v>0</v>
      </c>
      <c r="X10" s="20">
        <v>0</v>
      </c>
    </row>
    <row r="11" spans="1:24" ht="16.5" thickTop="1" thickBot="1" x14ac:dyDescent="0.3">
      <c r="A11" s="6" t="s">
        <v>4</v>
      </c>
      <c r="B11" s="7">
        <f>(B2*G115*B125)/B121/60</f>
        <v>17559.210607143861</v>
      </c>
      <c r="C11" s="7" t="s">
        <v>27</v>
      </c>
      <c r="D11" s="7">
        <f>B11*B121/1000</f>
        <v>316.33409566666671</v>
      </c>
      <c r="E11" s="8" t="s">
        <v>43</v>
      </c>
      <c r="G11" s="1" t="s">
        <v>86</v>
      </c>
      <c r="H11" s="4">
        <f>1000000-(H9+H10)/1000</f>
        <v>999988.01888999995</v>
      </c>
      <c r="I11" s="4">
        <f t="shared" ref="I11:J11" si="9">1000000-(I9+I10)/1000</f>
        <v>999987.99995200674</v>
      </c>
      <c r="J11" s="4">
        <f t="shared" si="9"/>
        <v>999987.98187000002</v>
      </c>
      <c r="M11" s="16">
        <f>(((H11/($B$121*1000))*$H$2)  * $B$121 )/1000</f>
        <v>315.44622055885043</v>
      </c>
      <c r="N11" s="16">
        <f>(((I11/($B$121*1000))*$H$2)  * $B$121 )/1000</f>
        <v>315.44621458486057</v>
      </c>
      <c r="O11" s="16">
        <f>(((J11/($B$121*1000))*$H$2)  * $B$121 )/1000</f>
        <v>315.44620888089156</v>
      </c>
      <c r="Q11" s="19">
        <f>M11-$D11</f>
        <v>-0.88787510781628498</v>
      </c>
      <c r="R11" s="19">
        <f>N11-$D11</f>
        <v>-0.88788108180614245</v>
      </c>
      <c r="S11" s="19">
        <f>O11-$D11</f>
        <v>-0.88788678577515157</v>
      </c>
      <c r="V11" s="20">
        <f t="shared" ref="V10:X11" si="10">ABS(Q11/M11)</f>
        <v>2.8146639583866589E-3</v>
      </c>
      <c r="W11" s="20">
        <f t="shared" si="10"/>
        <v>2.8146829499115351E-3</v>
      </c>
      <c r="X11" s="20">
        <f t="shared" si="10"/>
        <v>2.814701083031263E-3</v>
      </c>
    </row>
    <row r="12" spans="1:24" ht="16.5" thickTop="1" thickBot="1" x14ac:dyDescent="0.3">
      <c r="A12" s="6"/>
      <c r="B12" s="7"/>
      <c r="C12" s="7"/>
      <c r="D12" s="7"/>
      <c r="E12" s="8"/>
      <c r="Q12" s="17"/>
      <c r="R12" s="17"/>
      <c r="S12" s="17"/>
      <c r="V12" s="18"/>
      <c r="W12" s="18"/>
      <c r="X12" s="18"/>
    </row>
    <row r="13" spans="1:24" ht="16.5" thickTop="1" thickBot="1" x14ac:dyDescent="0.3">
      <c r="A13" s="6" t="s">
        <v>5</v>
      </c>
      <c r="B13" s="7">
        <f>B9</f>
        <v>111.07130386814902</v>
      </c>
      <c r="C13" s="7" t="s">
        <v>27</v>
      </c>
      <c r="D13" s="7">
        <f>(B13*B117)/1000</f>
        <v>17.727979739091399</v>
      </c>
      <c r="E13" s="8" t="s">
        <v>43</v>
      </c>
      <c r="G13" t="s">
        <v>63</v>
      </c>
      <c r="H13" s="4">
        <v>17700.0298</v>
      </c>
      <c r="I13" s="4">
        <v>17728.003763480148</v>
      </c>
      <c r="J13" s="4">
        <v>17754.715</v>
      </c>
      <c r="M13" s="16">
        <f>H13/1000</f>
        <v>17.700029799999999</v>
      </c>
      <c r="N13" s="16">
        <f t="shared" ref="N13:O13" si="11">I13/1000</f>
        <v>17.72800376348015</v>
      </c>
      <c r="O13" s="16">
        <f t="shared" si="11"/>
        <v>17.754715000000001</v>
      </c>
      <c r="Q13" s="19">
        <f>M13-$D13</f>
        <v>-2.7949939091399756E-2</v>
      </c>
      <c r="R13" s="19">
        <f>N13-$D13</f>
        <v>2.4024388750376602E-5</v>
      </c>
      <c r="S13" s="19">
        <f>O13-$D13</f>
        <v>2.6735260908601788E-2</v>
      </c>
      <c r="V13" s="20">
        <f t="shared" ref="V13" si="12">ABS(Q13/M13)</f>
        <v>1.5790899454530725E-3</v>
      </c>
      <c r="W13" s="20">
        <f t="shared" ref="W13" si="13">ABS(R13/N13)</f>
        <v>1.3551660452524871E-6</v>
      </c>
      <c r="X13" s="20">
        <f t="shared" ref="X13" si="14">ABS(S13/O13)</f>
        <v>1.5058118876367086E-3</v>
      </c>
    </row>
    <row r="14" spans="1:24" ht="16.5" thickTop="1" thickBot="1" x14ac:dyDescent="0.3">
      <c r="A14" s="6" t="s">
        <v>6</v>
      </c>
      <c r="B14" s="7">
        <f>B13</f>
        <v>111.07130386814902</v>
      </c>
      <c r="C14" s="7" t="s">
        <v>27</v>
      </c>
      <c r="D14" s="7">
        <f>B14*B120/1000</f>
        <v>10.893762412084186</v>
      </c>
      <c r="E14" s="8" t="s">
        <v>43</v>
      </c>
      <c r="G14" t="s">
        <v>65</v>
      </c>
      <c r="Q14" s="17"/>
      <c r="R14" s="17"/>
      <c r="S14" s="17"/>
      <c r="V14" s="18"/>
      <c r="W14" s="18"/>
      <c r="X14" s="18"/>
    </row>
    <row r="15" spans="1:24" ht="16.5" thickTop="1" thickBot="1" x14ac:dyDescent="0.3">
      <c r="A15" s="6" t="s">
        <v>7</v>
      </c>
      <c r="B15" s="7">
        <f>IF(B14-B10/2 &lt;=0,(-B14+B10/2),0)</f>
        <v>0</v>
      </c>
      <c r="C15" s="7" t="s">
        <v>27</v>
      </c>
      <c r="D15" s="7">
        <f>B15*B120/1000</f>
        <v>0</v>
      </c>
      <c r="E15" s="8" t="s">
        <v>43</v>
      </c>
      <c r="G15" t="s">
        <v>64</v>
      </c>
      <c r="H15" s="4">
        <v>0</v>
      </c>
      <c r="I15" s="4">
        <v>0</v>
      </c>
      <c r="J15" s="4">
        <v>0</v>
      </c>
      <c r="M15" s="16">
        <f t="shared" ref="M15:O16" si="15">H15/1000</f>
        <v>0</v>
      </c>
      <c r="N15" s="16">
        <f t="shared" si="15"/>
        <v>0</v>
      </c>
      <c r="O15" s="16">
        <f t="shared" si="15"/>
        <v>0</v>
      </c>
      <c r="Q15" s="19">
        <f>M15-$D15</f>
        <v>0</v>
      </c>
      <c r="R15" s="19">
        <f>N15-$D15</f>
        <v>0</v>
      </c>
      <c r="S15" s="19">
        <f>O15-$D15</f>
        <v>0</v>
      </c>
      <c r="V15" s="20">
        <v>0</v>
      </c>
      <c r="W15" s="20">
        <v>0</v>
      </c>
      <c r="X15" s="20">
        <v>0</v>
      </c>
    </row>
    <row r="16" spans="1:24" ht="16.5" thickTop="1" thickBot="1" x14ac:dyDescent="0.3">
      <c r="A16" s="6" t="s">
        <v>8</v>
      </c>
      <c r="B16" s="7">
        <f>IF(B15=0,2*(B14-B10/2),0)</f>
        <v>222.14260773629803</v>
      </c>
      <c r="C16" s="7" t="s">
        <v>27</v>
      </c>
      <c r="D16" s="7">
        <f>(B16*B115)/1000</f>
        <v>3.7833107523568916</v>
      </c>
      <c r="E16" s="8" t="s">
        <v>43</v>
      </c>
      <c r="G16" t="s">
        <v>66</v>
      </c>
      <c r="H16" s="4">
        <v>3777.346</v>
      </c>
      <c r="I16" s="4">
        <v>3783.315879695841</v>
      </c>
      <c r="J16" s="4">
        <v>3789.0162999999998</v>
      </c>
      <c r="M16" s="16">
        <f t="shared" si="15"/>
        <v>3.7773460000000001</v>
      </c>
      <c r="N16" s="16">
        <f t="shared" si="15"/>
        <v>3.783315879695841</v>
      </c>
      <c r="O16" s="16">
        <f t="shared" si="15"/>
        <v>3.7890162999999997</v>
      </c>
      <c r="Q16" s="19">
        <f>M16-$D16</f>
        <v>-5.9647523568915339E-3</v>
      </c>
      <c r="R16" s="19">
        <f>N16-$D16</f>
        <v>5.1273389494177479E-6</v>
      </c>
      <c r="S16" s="19">
        <f>O16-$D16</f>
        <v>5.7055476431080443E-3</v>
      </c>
      <c r="V16" s="20">
        <f t="shared" ref="V15:X16" si="16">ABS(Q16/M16)</f>
        <v>1.5790855158334804E-3</v>
      </c>
      <c r="W16" s="20">
        <f t="shared" si="16"/>
        <v>1.3552500273463709E-6</v>
      </c>
      <c r="X16" s="20">
        <f t="shared" si="16"/>
        <v>1.5058123775049594E-3</v>
      </c>
    </row>
    <row r="17" spans="1:24" ht="15.75" thickTop="1" x14ac:dyDescent="0.25">
      <c r="A17" s="6"/>
      <c r="B17" s="7"/>
      <c r="C17" s="7"/>
      <c r="D17" s="7"/>
      <c r="E17" s="8"/>
      <c r="V17" s="18"/>
      <c r="W17" s="18"/>
      <c r="X17" s="18"/>
    </row>
    <row r="18" spans="1:24" ht="15.75" thickBot="1" x14ac:dyDescent="0.3">
      <c r="A18" s="6" t="s">
        <v>9</v>
      </c>
      <c r="B18" s="7">
        <f>(B20*(B69/2))/(1-B20)</f>
        <v>390.51059404753101</v>
      </c>
      <c r="C18" s="7" t="s">
        <v>27</v>
      </c>
      <c r="D18" s="7"/>
      <c r="E18" s="8"/>
      <c r="V18" s="18"/>
      <c r="W18" s="18"/>
      <c r="X18" s="18"/>
    </row>
    <row r="19" spans="1:24" ht="16.5" thickTop="1" thickBot="1" x14ac:dyDescent="0.3">
      <c r="A19" s="6" t="s">
        <v>10</v>
      </c>
      <c r="B19" s="30">
        <f>1-(B18/B11)</f>
        <v>0.97776035593031418</v>
      </c>
      <c r="C19" s="7"/>
      <c r="D19" s="7"/>
      <c r="E19" s="8"/>
      <c r="G19" t="s">
        <v>68</v>
      </c>
      <c r="H19" s="4">
        <v>97.809754850800005</v>
      </c>
      <c r="I19" s="4">
        <v>97.813005262618972</v>
      </c>
      <c r="J19" s="4">
        <v>97.816409471</v>
      </c>
      <c r="M19" s="16">
        <f>H19/100</f>
        <v>0.97809754850800001</v>
      </c>
      <c r="N19" s="16">
        <f t="shared" ref="N19:O19" si="17">I19/100</f>
        <v>0.97813005262618968</v>
      </c>
      <c r="O19" s="16">
        <f t="shared" si="17"/>
        <v>0.97816409470999999</v>
      </c>
      <c r="Q19" s="19">
        <f>M19-$B19</f>
        <v>3.3719257768582978E-4</v>
      </c>
      <c r="R19" s="19">
        <f>N19-$B19</f>
        <v>3.696966958754988E-4</v>
      </c>
      <c r="S19" s="19">
        <f>O19-$B19</f>
        <v>4.0373877968580274E-4</v>
      </c>
      <c r="V19" s="20">
        <f t="shared" ref="V19:X19" si="18">ABS(Q19/M19)</f>
        <v>3.4474330111570854E-4</v>
      </c>
      <c r="W19" s="20">
        <f t="shared" si="18"/>
        <v>3.7796272068616745E-4</v>
      </c>
      <c r="X19" s="20">
        <f t="shared" si="18"/>
        <v>4.1275158418639429E-4</v>
      </c>
    </row>
    <row r="20" spans="1:24" ht="15.75" thickTop="1" x14ac:dyDescent="0.25">
      <c r="A20" s="6" t="s">
        <v>11</v>
      </c>
      <c r="B20" s="7">
        <f>((B126*EXP((B3*B2*G115/60)/(B122*B123*B124)))^(-1))</f>
        <v>0.77855798957317834</v>
      </c>
      <c r="C20" s="7"/>
      <c r="D20" s="7"/>
      <c r="E20" s="8"/>
      <c r="G20" t="s">
        <v>65</v>
      </c>
      <c r="V20" s="18"/>
      <c r="W20" s="18"/>
      <c r="X20" s="18"/>
    </row>
    <row r="21" spans="1:24" x14ac:dyDescent="0.25">
      <c r="A21" s="6"/>
      <c r="B21" s="7"/>
      <c r="C21" s="7"/>
      <c r="D21" s="7"/>
      <c r="E21" s="8"/>
      <c r="V21" s="18"/>
      <c r="W21" s="18"/>
      <c r="X21" s="18"/>
    </row>
    <row r="22" spans="1:24" x14ac:dyDescent="0.25">
      <c r="A22" s="6" t="s">
        <v>37</v>
      </c>
      <c r="B22" s="7"/>
      <c r="C22" s="7"/>
      <c r="D22" s="7"/>
      <c r="E22" s="8"/>
      <c r="V22" s="18"/>
      <c r="W22" s="18"/>
      <c r="X22" s="18"/>
    </row>
    <row r="23" spans="1:24" x14ac:dyDescent="0.25">
      <c r="A23" s="6" t="s">
        <v>0</v>
      </c>
      <c r="B23" s="24">
        <f>B$2</f>
        <v>5000</v>
      </c>
      <c r="C23" s="7" t="s">
        <v>26</v>
      </c>
      <c r="D23" s="7"/>
      <c r="E23" s="8"/>
      <c r="V23" s="18"/>
      <c r="W23" s="18"/>
      <c r="X23" s="18"/>
    </row>
    <row r="24" spans="1:24" x14ac:dyDescent="0.25">
      <c r="A24" s="6"/>
      <c r="B24" s="7" t="s">
        <v>41</v>
      </c>
      <c r="C24" s="7"/>
      <c r="D24" s="7" t="s">
        <v>42</v>
      </c>
      <c r="E24" s="8"/>
      <c r="V24" s="18"/>
      <c r="W24" s="18"/>
      <c r="X24" s="18"/>
    </row>
    <row r="25" spans="1:24" x14ac:dyDescent="0.25">
      <c r="A25" s="6" t="s">
        <v>3</v>
      </c>
      <c r="B25" s="31">
        <f>B$10</f>
        <v>0</v>
      </c>
      <c r="C25" s="7" t="s">
        <v>27</v>
      </c>
      <c r="D25" s="32">
        <f>B25*B$115/1000</f>
        <v>0</v>
      </c>
      <c r="E25" s="8" t="s">
        <v>43</v>
      </c>
      <c r="G25" t="s">
        <v>70</v>
      </c>
      <c r="V25" s="18"/>
      <c r="W25" s="18"/>
      <c r="X25" s="18"/>
    </row>
    <row r="26" spans="1:24" x14ac:dyDescent="0.25">
      <c r="A26" s="6" t="s">
        <v>38</v>
      </c>
      <c r="B26" s="33">
        <v>0</v>
      </c>
      <c r="C26" s="7" t="s">
        <v>27</v>
      </c>
      <c r="D26" s="33">
        <f>B26*B$116/1000</f>
        <v>0</v>
      </c>
      <c r="E26" s="8" t="s">
        <v>43</v>
      </c>
      <c r="V26" s="18"/>
      <c r="W26" s="18"/>
      <c r="X26" s="18"/>
    </row>
    <row r="27" spans="1:24" x14ac:dyDescent="0.25">
      <c r="A27" s="6" t="s">
        <v>5</v>
      </c>
      <c r="B27" s="33">
        <v>0</v>
      </c>
      <c r="C27" s="7" t="s">
        <v>27</v>
      </c>
      <c r="D27" s="33">
        <f>B27*B$117/1000</f>
        <v>0</v>
      </c>
      <c r="E27" s="8" t="s">
        <v>43</v>
      </c>
      <c r="V27" s="18"/>
      <c r="W27" s="18"/>
      <c r="X27" s="18"/>
    </row>
    <row r="28" spans="1:24" x14ac:dyDescent="0.25">
      <c r="A28" s="6" t="s">
        <v>39</v>
      </c>
      <c r="B28" s="33">
        <v>0</v>
      </c>
      <c r="C28" s="7" t="s">
        <v>27</v>
      </c>
      <c r="D28" s="33">
        <f>B28*B$118/1000</f>
        <v>0</v>
      </c>
      <c r="E28" s="8" t="s">
        <v>43</v>
      </c>
      <c r="V28" s="18"/>
      <c r="W28" s="18"/>
      <c r="X28" s="18"/>
    </row>
    <row r="29" spans="1:24" x14ac:dyDescent="0.25">
      <c r="A29" s="6" t="s">
        <v>2</v>
      </c>
      <c r="B29" s="31">
        <f>B$9</f>
        <v>111.07130386814902</v>
      </c>
      <c r="C29" s="7" t="s">
        <v>27</v>
      </c>
      <c r="D29" s="32">
        <f>B29*B$119/1000</f>
        <v>3.7854099999999997</v>
      </c>
      <c r="E29" s="8" t="s">
        <v>43</v>
      </c>
      <c r="G29" t="s">
        <v>69</v>
      </c>
      <c r="V29" s="18"/>
      <c r="W29" s="18"/>
      <c r="X29" s="18"/>
    </row>
    <row r="30" spans="1:24" x14ac:dyDescent="0.25">
      <c r="A30" s="6" t="s">
        <v>47</v>
      </c>
      <c r="B30" s="24">
        <v>0</v>
      </c>
      <c r="C30" s="7" t="s">
        <v>27</v>
      </c>
      <c r="D30" s="33">
        <f>B30*B$120/1000</f>
        <v>0</v>
      </c>
      <c r="E30" s="8" t="s">
        <v>43</v>
      </c>
      <c r="V30" s="18"/>
      <c r="W30" s="18"/>
      <c r="X30" s="18"/>
    </row>
    <row r="31" spans="1:24" x14ac:dyDescent="0.25">
      <c r="A31" s="6" t="s">
        <v>4</v>
      </c>
      <c r="B31" s="7">
        <f>B$11</f>
        <v>17559.210607143861</v>
      </c>
      <c r="C31" s="7" t="s">
        <v>27</v>
      </c>
      <c r="D31" s="34">
        <f>B31*B$121/1000</f>
        <v>316.33409566666671</v>
      </c>
      <c r="E31" s="8" t="s">
        <v>43</v>
      </c>
      <c r="G31" t="s">
        <v>71</v>
      </c>
      <c r="V31" s="18"/>
      <c r="W31" s="18"/>
      <c r="X31" s="18"/>
    </row>
    <row r="32" spans="1:24" x14ac:dyDescent="0.25">
      <c r="A32" s="6"/>
      <c r="B32" s="7"/>
      <c r="C32" s="7"/>
      <c r="D32" s="7"/>
      <c r="E32" s="8"/>
      <c r="V32" s="18"/>
      <c r="W32" s="18"/>
      <c r="X32" s="18"/>
    </row>
    <row r="33" spans="1:24" x14ac:dyDescent="0.25">
      <c r="A33" s="6" t="s">
        <v>40</v>
      </c>
      <c r="B33" s="7"/>
      <c r="C33" s="7"/>
      <c r="D33" s="7"/>
      <c r="E33" s="8"/>
      <c r="V33" s="18"/>
      <c r="W33" s="18"/>
      <c r="X33" s="18"/>
    </row>
    <row r="34" spans="1:24" x14ac:dyDescent="0.25">
      <c r="A34" s="6" t="s">
        <v>0</v>
      </c>
      <c r="B34" s="7">
        <v>0.1</v>
      </c>
      <c r="C34" s="7" t="s">
        <v>26</v>
      </c>
      <c r="D34" s="7"/>
      <c r="E34" s="8"/>
      <c r="G34" t="s">
        <v>72</v>
      </c>
      <c r="V34" s="18"/>
      <c r="W34" s="18"/>
      <c r="X34" s="18"/>
    </row>
    <row r="35" spans="1:24" x14ac:dyDescent="0.25">
      <c r="A35" s="6"/>
      <c r="B35" s="7" t="s">
        <v>41</v>
      </c>
      <c r="C35" s="7"/>
      <c r="D35" s="7" t="s">
        <v>42</v>
      </c>
      <c r="E35" s="8"/>
      <c r="V35" s="18"/>
      <c r="W35" s="18"/>
      <c r="X35" s="18"/>
    </row>
    <row r="36" spans="1:24" x14ac:dyDescent="0.25">
      <c r="A36" s="6" t="s">
        <v>3</v>
      </c>
      <c r="B36" s="35">
        <f>B25/B$23*B$34*60</f>
        <v>0</v>
      </c>
      <c r="C36" s="7" t="s">
        <v>44</v>
      </c>
      <c r="D36" s="32">
        <f>B36*B$115</f>
        <v>0</v>
      </c>
      <c r="E36" s="8" t="s">
        <v>45</v>
      </c>
      <c r="V36" s="18"/>
      <c r="W36" s="18"/>
      <c r="X36" s="18"/>
    </row>
    <row r="37" spans="1:24" x14ac:dyDescent="0.25">
      <c r="A37" s="6" t="s">
        <v>38</v>
      </c>
      <c r="B37" s="24">
        <f>B26/B$23*B$34*60</f>
        <v>0</v>
      </c>
      <c r="C37" s="7" t="s">
        <v>44</v>
      </c>
      <c r="D37" s="33">
        <f>B37*B$116</f>
        <v>0</v>
      </c>
      <c r="E37" s="8" t="s">
        <v>45</v>
      </c>
      <c r="V37" s="18"/>
      <c r="W37" s="18"/>
      <c r="X37" s="18"/>
    </row>
    <row r="38" spans="1:24" x14ac:dyDescent="0.25">
      <c r="A38" s="6" t="s">
        <v>5</v>
      </c>
      <c r="B38" s="24">
        <f>B27/B$23*B$34*60</f>
        <v>0</v>
      </c>
      <c r="C38" s="7" t="s">
        <v>44</v>
      </c>
      <c r="D38" s="33">
        <f>B38*B$117</f>
        <v>0</v>
      </c>
      <c r="E38" s="8" t="s">
        <v>45</v>
      </c>
      <c r="V38" s="18"/>
      <c r="W38" s="18"/>
      <c r="X38" s="18"/>
    </row>
    <row r="39" spans="1:24" x14ac:dyDescent="0.25">
      <c r="A39" s="6" t="s">
        <v>39</v>
      </c>
      <c r="B39" s="24">
        <f>B28/B$23*B$34*60</f>
        <v>0</v>
      </c>
      <c r="C39" s="7" t="s">
        <v>44</v>
      </c>
      <c r="D39" s="33">
        <f>B39*B$118</f>
        <v>0</v>
      </c>
      <c r="E39" s="8" t="s">
        <v>45</v>
      </c>
      <c r="V39" s="18"/>
      <c r="W39" s="18"/>
      <c r="X39" s="18"/>
    </row>
    <row r="40" spans="1:24" x14ac:dyDescent="0.25">
      <c r="A40" s="6" t="s">
        <v>2</v>
      </c>
      <c r="B40" s="35">
        <f>B29/B$23*B$34*60</f>
        <v>0.13328556464177882</v>
      </c>
      <c r="C40" s="7" t="s">
        <v>44</v>
      </c>
      <c r="D40" s="32">
        <f>B40*B$119</f>
        <v>4.5424919999999993</v>
      </c>
      <c r="E40" s="8" t="s">
        <v>45</v>
      </c>
      <c r="V40" s="18"/>
      <c r="W40" s="18"/>
      <c r="X40" s="18"/>
    </row>
    <row r="41" spans="1:24" x14ac:dyDescent="0.25">
      <c r="A41" s="6" t="s">
        <v>47</v>
      </c>
      <c r="B41" s="24">
        <v>0</v>
      </c>
      <c r="C41" s="7" t="s">
        <v>27</v>
      </c>
      <c r="D41" s="33">
        <f>B41*B$120/1000</f>
        <v>0</v>
      </c>
      <c r="E41" s="8" t="s">
        <v>43</v>
      </c>
      <c r="V41" s="18"/>
      <c r="W41" s="18"/>
      <c r="X41" s="18"/>
    </row>
    <row r="42" spans="1:24" x14ac:dyDescent="0.25">
      <c r="A42" s="6" t="s">
        <v>4</v>
      </c>
      <c r="B42" s="31">
        <f>B31/B$23*B$34*60</f>
        <v>21.071052728572631</v>
      </c>
      <c r="C42" s="7" t="s">
        <v>44</v>
      </c>
      <c r="D42" s="34">
        <f>B42*B$121</f>
        <v>379.60091479999994</v>
      </c>
      <c r="E42" s="8" t="s">
        <v>45</v>
      </c>
      <c r="V42" s="18"/>
      <c r="W42" s="18"/>
      <c r="X42" s="18"/>
    </row>
    <row r="43" spans="1:24" x14ac:dyDescent="0.25">
      <c r="A43" s="6"/>
      <c r="B43" s="7"/>
      <c r="C43" s="7"/>
      <c r="D43" s="7"/>
      <c r="E43" s="8"/>
      <c r="V43" s="18"/>
      <c r="W43" s="18"/>
      <c r="X43" s="18"/>
    </row>
    <row r="44" spans="1:24" x14ac:dyDescent="0.25">
      <c r="A44" s="6" t="s">
        <v>46</v>
      </c>
      <c r="B44" s="7"/>
      <c r="C44" s="7"/>
      <c r="D44" s="7"/>
      <c r="E44" s="8"/>
      <c r="G44" t="s">
        <v>72</v>
      </c>
      <c r="V44" s="18"/>
      <c r="W44" s="18"/>
      <c r="X44" s="18"/>
    </row>
    <row r="45" spans="1:24" x14ac:dyDescent="0.25">
      <c r="A45" s="6" t="s">
        <v>0</v>
      </c>
      <c r="B45" s="24">
        <v>0</v>
      </c>
      <c r="C45" s="7" t="s">
        <v>26</v>
      </c>
      <c r="D45" s="7"/>
      <c r="E45" s="8"/>
      <c r="V45" s="18"/>
      <c r="W45" s="18"/>
      <c r="X45" s="18"/>
    </row>
    <row r="46" spans="1:24" x14ac:dyDescent="0.25">
      <c r="A46" s="6"/>
      <c r="B46" s="7" t="s">
        <v>41</v>
      </c>
      <c r="C46" s="7"/>
      <c r="D46" s="7" t="s">
        <v>42</v>
      </c>
      <c r="E46" s="8"/>
      <c r="V46" s="18"/>
      <c r="W46" s="18"/>
      <c r="X46" s="18"/>
    </row>
    <row r="47" spans="1:24" x14ac:dyDescent="0.25">
      <c r="A47" s="6" t="s">
        <v>3</v>
      </c>
      <c r="B47" s="24">
        <v>0</v>
      </c>
      <c r="C47" s="7" t="s">
        <v>27</v>
      </c>
      <c r="D47" s="33">
        <f>B47*B$115/1000</f>
        <v>0</v>
      </c>
      <c r="E47" s="8" t="s">
        <v>43</v>
      </c>
      <c r="V47" s="18"/>
      <c r="W47" s="18"/>
      <c r="X47" s="18"/>
    </row>
    <row r="48" spans="1:24" x14ac:dyDescent="0.25">
      <c r="A48" s="6" t="s">
        <v>38</v>
      </c>
      <c r="B48" s="33">
        <v>0</v>
      </c>
      <c r="C48" s="7" t="s">
        <v>27</v>
      </c>
      <c r="D48" s="33">
        <f>B48*B$116/1000</f>
        <v>0</v>
      </c>
      <c r="E48" s="8" t="s">
        <v>43</v>
      </c>
      <c r="V48" s="18"/>
      <c r="W48" s="18"/>
      <c r="X48" s="18"/>
    </row>
    <row r="49" spans="1:24" x14ac:dyDescent="0.25">
      <c r="A49" s="6" t="s">
        <v>5</v>
      </c>
      <c r="B49" s="34">
        <f>B13</f>
        <v>111.07130386814902</v>
      </c>
      <c r="C49" s="7" t="s">
        <v>27</v>
      </c>
      <c r="D49" s="34">
        <f>B49*B$117/1000</f>
        <v>17.727979739091399</v>
      </c>
      <c r="E49" s="8" t="s">
        <v>43</v>
      </c>
      <c r="V49" s="18"/>
      <c r="W49" s="18"/>
      <c r="X49" s="18"/>
    </row>
    <row r="50" spans="1:24" x14ac:dyDescent="0.25">
      <c r="A50" s="6" t="s">
        <v>39</v>
      </c>
      <c r="B50" s="33">
        <v>0</v>
      </c>
      <c r="C50" s="7" t="s">
        <v>27</v>
      </c>
      <c r="D50" s="33">
        <f>B50*B$118/1000</f>
        <v>0</v>
      </c>
      <c r="E50" s="8" t="s">
        <v>43</v>
      </c>
      <c r="V50" s="18"/>
      <c r="W50" s="18"/>
      <c r="X50" s="18"/>
    </row>
    <row r="51" spans="1:24" x14ac:dyDescent="0.25">
      <c r="A51" s="6" t="s">
        <v>2</v>
      </c>
      <c r="B51" s="24">
        <v>0</v>
      </c>
      <c r="C51" s="7" t="s">
        <v>27</v>
      </c>
      <c r="D51" s="33">
        <f>B51*B$119/1000</f>
        <v>0</v>
      </c>
      <c r="E51" s="8" t="s">
        <v>43</v>
      </c>
      <c r="V51" s="18"/>
      <c r="W51" s="18"/>
      <c r="X51" s="18"/>
    </row>
    <row r="52" spans="1:24" x14ac:dyDescent="0.25">
      <c r="A52" s="6" t="s">
        <v>47</v>
      </c>
      <c r="B52" s="24">
        <f>B$15</f>
        <v>0</v>
      </c>
      <c r="C52" s="7" t="s">
        <v>27</v>
      </c>
      <c r="D52" s="33">
        <f>B52*B$120/1000</f>
        <v>0</v>
      </c>
      <c r="E52" s="8" t="s">
        <v>43</v>
      </c>
      <c r="V52" s="18"/>
      <c r="W52" s="18"/>
      <c r="X52" s="18"/>
    </row>
    <row r="53" spans="1:24" x14ac:dyDescent="0.25">
      <c r="A53" s="6" t="s">
        <v>4</v>
      </c>
      <c r="B53" s="7">
        <f>B32</f>
        <v>0</v>
      </c>
      <c r="C53" s="7" t="s">
        <v>27</v>
      </c>
      <c r="D53" s="34">
        <f>B53*B$121/1000</f>
        <v>0</v>
      </c>
      <c r="E53" s="8" t="s">
        <v>43</v>
      </c>
      <c r="V53" s="18"/>
      <c r="W53" s="18"/>
      <c r="X53" s="18"/>
    </row>
    <row r="54" spans="1:24" x14ac:dyDescent="0.25">
      <c r="A54" s="6"/>
      <c r="B54" s="7"/>
      <c r="C54" s="7"/>
      <c r="D54" s="7"/>
      <c r="E54" s="8"/>
      <c r="V54" s="18"/>
      <c r="W54" s="18"/>
      <c r="X54" s="18"/>
    </row>
    <row r="55" spans="1:24" x14ac:dyDescent="0.25">
      <c r="A55" s="6" t="s">
        <v>48</v>
      </c>
      <c r="B55" s="7"/>
      <c r="C55" s="7"/>
      <c r="D55" s="7"/>
      <c r="E55" s="8"/>
      <c r="V55" s="18"/>
      <c r="W55" s="18"/>
      <c r="X55" s="18"/>
    </row>
    <row r="56" spans="1:24" x14ac:dyDescent="0.25">
      <c r="A56" s="6" t="s">
        <v>0</v>
      </c>
      <c r="B56" s="24">
        <f>B$2</f>
        <v>5000</v>
      </c>
      <c r="C56" s="7" t="s">
        <v>26</v>
      </c>
      <c r="D56" s="7"/>
      <c r="E56" s="8"/>
      <c r="V56" s="18"/>
      <c r="W56" s="18"/>
      <c r="X56" s="18"/>
    </row>
    <row r="57" spans="1:24" x14ac:dyDescent="0.25">
      <c r="A57" s="6"/>
      <c r="B57" s="7" t="s">
        <v>41</v>
      </c>
      <c r="C57" s="7"/>
      <c r="D57" s="7" t="s">
        <v>42</v>
      </c>
      <c r="E57" s="8"/>
      <c r="V57" s="18"/>
      <c r="W57" s="18"/>
      <c r="X57" s="18"/>
    </row>
    <row r="58" spans="1:24" x14ac:dyDescent="0.25">
      <c r="A58" s="6" t="s">
        <v>3</v>
      </c>
      <c r="B58" s="31">
        <f>B$10</f>
        <v>0</v>
      </c>
      <c r="C58" s="7" t="s">
        <v>27</v>
      </c>
      <c r="D58" s="32">
        <f>B58*B$115/1000</f>
        <v>0</v>
      </c>
      <c r="E58" s="8" t="s">
        <v>43</v>
      </c>
      <c r="G58" t="s">
        <v>70</v>
      </c>
      <c r="V58" s="18"/>
      <c r="W58" s="18"/>
      <c r="X58" s="18"/>
    </row>
    <row r="59" spans="1:24" x14ac:dyDescent="0.25">
      <c r="A59" s="6" t="s">
        <v>38</v>
      </c>
      <c r="B59" s="33">
        <v>0</v>
      </c>
      <c r="C59" s="7" t="s">
        <v>27</v>
      </c>
      <c r="D59" s="33">
        <f>B59*B$116/1000</f>
        <v>0</v>
      </c>
      <c r="E59" s="8" t="s">
        <v>43</v>
      </c>
      <c r="V59" s="18"/>
      <c r="W59" s="18"/>
      <c r="X59" s="18"/>
    </row>
    <row r="60" spans="1:24" x14ac:dyDescent="0.25">
      <c r="A60" s="6" t="s">
        <v>5</v>
      </c>
      <c r="B60" s="34">
        <f>B$49</f>
        <v>111.07130386814902</v>
      </c>
      <c r="C60" s="7" t="s">
        <v>27</v>
      </c>
      <c r="D60" s="34">
        <f>B60*B$117/1000</f>
        <v>17.727979739091399</v>
      </c>
      <c r="E60" s="8" t="s">
        <v>43</v>
      </c>
      <c r="G60" t="s">
        <v>69</v>
      </c>
      <c r="V60" s="18"/>
      <c r="W60" s="18"/>
      <c r="X60" s="18"/>
    </row>
    <row r="61" spans="1:24" x14ac:dyDescent="0.25">
      <c r="A61" s="6" t="s">
        <v>39</v>
      </c>
      <c r="B61" s="33">
        <v>0</v>
      </c>
      <c r="C61" s="7" t="s">
        <v>27</v>
      </c>
      <c r="D61" s="33">
        <f>B61*B$118/1000</f>
        <v>0</v>
      </c>
      <c r="E61" s="8" t="s">
        <v>43</v>
      </c>
      <c r="V61" s="18"/>
      <c r="W61" s="18"/>
      <c r="X61" s="18"/>
    </row>
    <row r="62" spans="1:24" x14ac:dyDescent="0.25">
      <c r="A62" s="6" t="s">
        <v>2</v>
      </c>
      <c r="B62" s="31">
        <f>B$9</f>
        <v>111.07130386814902</v>
      </c>
      <c r="C62" s="7" t="s">
        <v>27</v>
      </c>
      <c r="D62" s="32">
        <f>B62*B$119/1000</f>
        <v>3.7854099999999997</v>
      </c>
      <c r="E62" s="8" t="s">
        <v>43</v>
      </c>
      <c r="G62" t="s">
        <v>69</v>
      </c>
      <c r="V62" s="18"/>
      <c r="W62" s="18"/>
      <c r="X62" s="18"/>
    </row>
    <row r="63" spans="1:24" x14ac:dyDescent="0.25">
      <c r="A63" s="6" t="s">
        <v>47</v>
      </c>
      <c r="B63" s="24">
        <f>B52</f>
        <v>0</v>
      </c>
      <c r="C63" s="7" t="s">
        <v>27</v>
      </c>
      <c r="D63" s="33">
        <f>B63*B$120/1000</f>
        <v>0</v>
      </c>
      <c r="E63" s="8" t="s">
        <v>43</v>
      </c>
      <c r="V63" s="18"/>
      <c r="W63" s="18"/>
      <c r="X63" s="18"/>
    </row>
    <row r="64" spans="1:24" x14ac:dyDescent="0.25">
      <c r="A64" s="6" t="s">
        <v>4</v>
      </c>
      <c r="B64" s="36">
        <f>B$11</f>
        <v>17559.210607143861</v>
      </c>
      <c r="C64" s="7" t="s">
        <v>27</v>
      </c>
      <c r="D64" s="34">
        <f>B64*B$121/1000</f>
        <v>316.33409566666671</v>
      </c>
      <c r="E64" s="8" t="s">
        <v>43</v>
      </c>
      <c r="V64" s="18"/>
      <c r="W64" s="18"/>
      <c r="X64" s="18"/>
    </row>
    <row r="65" spans="1:24" x14ac:dyDescent="0.25">
      <c r="A65" s="6"/>
      <c r="B65" s="7"/>
      <c r="C65" s="7"/>
      <c r="D65" s="7"/>
      <c r="E65" s="8"/>
      <c r="V65" s="18"/>
      <c r="W65" s="18"/>
      <c r="X65" s="18"/>
    </row>
    <row r="66" spans="1:24" x14ac:dyDescent="0.25">
      <c r="A66" s="6" t="s">
        <v>49</v>
      </c>
      <c r="B66" s="7"/>
      <c r="C66" s="7"/>
      <c r="D66" s="7"/>
      <c r="E66" s="8"/>
      <c r="V66" s="18"/>
      <c r="W66" s="18"/>
      <c r="X66" s="18"/>
    </row>
    <row r="67" spans="1:24" x14ac:dyDescent="0.25">
      <c r="A67" s="6" t="s">
        <v>0</v>
      </c>
      <c r="B67" s="24">
        <f>B$2</f>
        <v>5000</v>
      </c>
      <c r="C67" s="7" t="s">
        <v>26</v>
      </c>
      <c r="D67" s="7"/>
      <c r="E67" s="8"/>
      <c r="V67" s="18"/>
      <c r="W67" s="18"/>
      <c r="X67" s="18"/>
    </row>
    <row r="68" spans="1:24" ht="15.75" thickBot="1" x14ac:dyDescent="0.3">
      <c r="A68" s="6"/>
      <c r="B68" s="7" t="s">
        <v>41</v>
      </c>
      <c r="C68" s="7"/>
      <c r="D68" s="7" t="s">
        <v>42</v>
      </c>
      <c r="E68" s="8"/>
      <c r="V68" s="18"/>
      <c r="W68" s="18"/>
      <c r="X68" s="18"/>
    </row>
    <row r="69" spans="1:24" ht="16.5" thickTop="1" thickBot="1" x14ac:dyDescent="0.3">
      <c r="A69" s="6" t="s">
        <v>3</v>
      </c>
      <c r="B69" s="37">
        <f>B10+B16</f>
        <v>222.14260773629803</v>
      </c>
      <c r="C69" s="7" t="s">
        <v>27</v>
      </c>
      <c r="D69" s="34">
        <f>(B69*B$115)/1000</f>
        <v>3.7833107523568916</v>
      </c>
      <c r="E69" s="8" t="s">
        <v>43</v>
      </c>
      <c r="G69" t="s">
        <v>62</v>
      </c>
      <c r="H69" s="4">
        <v>1.1974469999999999E-2</v>
      </c>
      <c r="I69" s="4">
        <v>1.1993393215484876E-2</v>
      </c>
      <c r="J69" s="4">
        <v>1.201146E-2</v>
      </c>
      <c r="M69" s="16">
        <f>(((H69/$B$115)*1000*$H$2)  * $B$115 )/1000</f>
        <v>3.7773465614999995</v>
      </c>
      <c r="N69" s="16">
        <f>(((I69/$B$115)*1000*$H$2)  * $B$115 )/1000</f>
        <v>3.7833158898247037</v>
      </c>
      <c r="O69" s="16">
        <f>(((J69/$B$115)*1000*$H$2)  * $B$115 )/1000</f>
        <v>3.7890150569999999</v>
      </c>
      <c r="Q69" s="19">
        <f>M69-$D69</f>
        <v>-5.9641908568921487E-3</v>
      </c>
      <c r="R69" s="19">
        <f>N69-$D69</f>
        <v>5.137467812055263E-6</v>
      </c>
      <c r="S69" s="19">
        <f>O69-$D69</f>
        <v>5.7043046431082267E-3</v>
      </c>
      <c r="V69" s="20">
        <f t="shared" ref="V69:X69" si="19">ABS(Q69/M69)</f>
        <v>1.5789366317830642E-3</v>
      </c>
      <c r="W69" s="20">
        <f t="shared" si="19"/>
        <v>1.3579272684769928E-6</v>
      </c>
      <c r="X69" s="20">
        <f t="shared" si="19"/>
        <v>1.5054848179000592E-3</v>
      </c>
    </row>
    <row r="70" spans="1:24" ht="16.5" thickTop="1" thickBot="1" x14ac:dyDescent="0.3">
      <c r="A70" s="6" t="s">
        <v>38</v>
      </c>
      <c r="B70" s="37">
        <f>(B$58*G$117)</f>
        <v>0</v>
      </c>
      <c r="C70" s="7" t="s">
        <v>27</v>
      </c>
      <c r="D70" s="34">
        <f>B70*B$116/1000</f>
        <v>0</v>
      </c>
      <c r="E70" s="8" t="s">
        <v>43</v>
      </c>
    </row>
    <row r="71" spans="1:24" ht="16.5" thickTop="1" thickBot="1" x14ac:dyDescent="0.3">
      <c r="A71" s="6" t="s">
        <v>5</v>
      </c>
      <c r="B71" s="37">
        <f>B72</f>
        <v>111.07119279684514</v>
      </c>
      <c r="C71" s="7" t="s">
        <v>27</v>
      </c>
      <c r="D71" s="34">
        <f>(B71*B$117)/1000</f>
        <v>17.727962011111657</v>
      </c>
      <c r="E71" s="8" t="s">
        <v>43</v>
      </c>
      <c r="G71" t="s">
        <v>63</v>
      </c>
      <c r="H71" s="4">
        <v>17700.0298</v>
      </c>
      <c r="I71" s="4">
        <v>17728.003763480148</v>
      </c>
      <c r="J71" s="4">
        <v>17754.715</v>
      </c>
      <c r="M71" s="16">
        <f>H71/1000</f>
        <v>17.700029799999999</v>
      </c>
      <c r="N71" s="16">
        <f t="shared" ref="N71:O71" si="20">I71/1000</f>
        <v>17.72800376348015</v>
      </c>
      <c r="O71" s="16">
        <f t="shared" si="20"/>
        <v>17.754715000000001</v>
      </c>
      <c r="Q71" s="19">
        <f>M71-$D71</f>
        <v>-2.7932211111657779E-2</v>
      </c>
      <c r="R71" s="19">
        <f>N71-$D71</f>
        <v>4.1752368492353753E-5</v>
      </c>
      <c r="S71" s="19">
        <f>O71-$D71</f>
        <v>2.6752988888343765E-2</v>
      </c>
      <c r="V71" s="20">
        <f t="shared" ref="V71" si="21">ABS(Q71/M71)</f>
        <v>1.5780883663629639E-3</v>
      </c>
      <c r="W71" s="20">
        <f t="shared" ref="W71" si="22">ABS(R71/N71)</f>
        <v>2.3551646902492212E-6</v>
      </c>
      <c r="X71" s="20">
        <f t="shared" ref="X71" si="23">ABS(S71/O71)</f>
        <v>1.5068103818249837E-3</v>
      </c>
    </row>
    <row r="72" spans="1:24" ht="16.5" thickTop="1" thickBot="1" x14ac:dyDescent="0.3">
      <c r="A72" s="6" t="s">
        <v>39</v>
      </c>
      <c r="B72" s="37">
        <f>(B$62*G$116)</f>
        <v>111.07119279684514</v>
      </c>
      <c r="C72" s="7" t="s">
        <v>27</v>
      </c>
      <c r="D72" s="34">
        <f>B72*B$118/1000</f>
        <v>10.619627814499161</v>
      </c>
      <c r="E72" s="8" t="s">
        <v>43</v>
      </c>
    </row>
    <row r="73" spans="1:24" ht="16.5" thickTop="1" thickBot="1" x14ac:dyDescent="0.3">
      <c r="A73" s="6" t="s">
        <v>2</v>
      </c>
      <c r="B73" s="37">
        <f>B9</f>
        <v>111.07130386814902</v>
      </c>
      <c r="C73" s="7" t="s">
        <v>27</v>
      </c>
      <c r="D73" s="34">
        <f>(B73*B$119)/1000</f>
        <v>3.7854099999999997</v>
      </c>
      <c r="E73" s="8" t="s">
        <v>43</v>
      </c>
      <c r="G73" t="s">
        <v>61</v>
      </c>
      <c r="H73" s="4">
        <v>1.198111E-2</v>
      </c>
      <c r="I73" s="4">
        <v>1.2000047995259746E-2</v>
      </c>
      <c r="J73" s="4">
        <v>1.201813E-2</v>
      </c>
      <c r="M73" s="16">
        <f>(((H73/$B$119)*1000*$H$2)  * $B$119 )/1000</f>
        <v>3.7794411494999998</v>
      </c>
      <c r="N73" s="16">
        <f>(((I73/$B$119)*1000*$H$2)  * $B$119 )/1000</f>
        <v>3.7854151401046869</v>
      </c>
      <c r="O73" s="16">
        <f>(((J73/$B$119)*1000*$H$2)  * $B$119 )/1000</f>
        <v>3.7911191085000002</v>
      </c>
      <c r="Q73" s="19">
        <f>M73-$D73</f>
        <v>-5.9688504999999559E-3</v>
      </c>
      <c r="R73" s="19">
        <f>N73-$D73</f>
        <v>5.1401046872179279E-6</v>
      </c>
      <c r="S73" s="19">
        <f>O73-$D73</f>
        <v>5.7091085000005037E-3</v>
      </c>
      <c r="V73" s="20">
        <f t="shared" ref="V73" si="24">ABS(Q73/M73)</f>
        <v>1.5792944681225168E-3</v>
      </c>
      <c r="W73" s="20">
        <f t="shared" ref="W73" si="25">ABS(R73/N73)</f>
        <v>1.3578708006846975E-6</v>
      </c>
      <c r="X73" s="20">
        <f t="shared" ref="X73" si="26">ABS(S73/O73)</f>
        <v>1.505916415867867E-3</v>
      </c>
    </row>
    <row r="74" spans="1:24" ht="16.5" thickTop="1" thickBot="1" x14ac:dyDescent="0.3">
      <c r="A74" s="6" t="s">
        <v>47</v>
      </c>
      <c r="B74" s="37">
        <f>(B$14+B$15-B$60)</f>
        <v>0</v>
      </c>
      <c r="C74" s="7" t="s">
        <v>27</v>
      </c>
      <c r="D74" s="34">
        <f>B74*B$120/1000</f>
        <v>0</v>
      </c>
      <c r="E74" s="8" t="s">
        <v>43</v>
      </c>
      <c r="V74" s="18"/>
      <c r="W74" s="18"/>
      <c r="X74" s="18"/>
    </row>
    <row r="75" spans="1:24" ht="16.5" thickTop="1" thickBot="1" x14ac:dyDescent="0.3">
      <c r="A75" s="6" t="s">
        <v>4</v>
      </c>
      <c r="B75" s="36">
        <f>B$11</f>
        <v>17559.210607143861</v>
      </c>
      <c r="C75" s="7" t="s">
        <v>27</v>
      </c>
      <c r="D75" s="34">
        <f>B75*B$121/1000</f>
        <v>316.33409566666671</v>
      </c>
      <c r="E75" s="8" t="s">
        <v>43</v>
      </c>
      <c r="G75" t="s">
        <v>73</v>
      </c>
      <c r="H75" s="4">
        <f>1000000-(H73+H69)</f>
        <v>999999.97604442004</v>
      </c>
      <c r="I75" s="4">
        <f>1000000-(I73+I69)</f>
        <v>999999.97600655875</v>
      </c>
      <c r="J75" s="4">
        <f>1000000-(J73+J69)</f>
        <v>999999.97597041004</v>
      </c>
      <c r="M75" s="16">
        <f>(((H75/$B$121)/1000*$H$2)  * $B$121 )/1000</f>
        <v>315.4499924432123</v>
      </c>
      <c r="N75" s="16">
        <f>(((I75/$B$121)/1000*$H$2)  * $B$121 )/1000</f>
        <v>315.44999243126898</v>
      </c>
      <c r="O75" s="16">
        <f>(((J75/$B$121)/1000*$H$2)  * $B$121 )/1000</f>
        <v>315.44999241986585</v>
      </c>
      <c r="Q75" s="19">
        <f>M75-$D75</f>
        <v>-0.88410322345441728</v>
      </c>
      <c r="R75" s="19">
        <f>N75-$D75</f>
        <v>-0.88410323539773117</v>
      </c>
      <c r="S75" s="19">
        <f>O75-$D75</f>
        <v>-0.88410324680086205</v>
      </c>
      <c r="V75" s="20">
        <f t="shared" ref="V75:X75" si="27">ABS(Q75/M75)</f>
        <v>2.802673148307571E-3</v>
      </c>
      <c r="W75" s="20">
        <f t="shared" si="27"/>
        <v>2.8026731862748791E-3</v>
      </c>
      <c r="X75" s="20">
        <f t="shared" si="27"/>
        <v>2.8026732225249675E-3</v>
      </c>
    </row>
    <row r="76" spans="1:24" ht="15.75" thickTop="1" x14ac:dyDescent="0.25">
      <c r="A76" s="6"/>
      <c r="B76" s="7"/>
      <c r="C76" s="7"/>
      <c r="D76" s="7"/>
      <c r="E76" s="8"/>
      <c r="V76" s="18"/>
      <c r="W76" s="18"/>
      <c r="X76" s="18"/>
    </row>
    <row r="77" spans="1:24" x14ac:dyDescent="0.25">
      <c r="A77" s="6" t="s">
        <v>52</v>
      </c>
      <c r="B77" s="7"/>
      <c r="C77" s="7"/>
      <c r="D77" s="7"/>
      <c r="E77" s="8"/>
      <c r="V77" s="18"/>
      <c r="W77" s="18"/>
      <c r="X77" s="18"/>
    </row>
    <row r="78" spans="1:24" x14ac:dyDescent="0.25">
      <c r="A78" s="6" t="s">
        <v>0</v>
      </c>
      <c r="B78" s="24">
        <f>B$2</f>
        <v>5000</v>
      </c>
      <c r="C78" s="7" t="s">
        <v>26</v>
      </c>
      <c r="D78" s="7"/>
      <c r="E78" s="8"/>
      <c r="V78" s="18"/>
      <c r="W78" s="18"/>
      <c r="X78" s="18"/>
    </row>
    <row r="79" spans="1:24" ht="15.75" thickBot="1" x14ac:dyDescent="0.3">
      <c r="A79" s="6"/>
      <c r="B79" s="7" t="s">
        <v>41</v>
      </c>
      <c r="C79" s="7"/>
      <c r="D79" s="7" t="s">
        <v>42</v>
      </c>
      <c r="E79" s="8"/>
      <c r="V79" s="18"/>
      <c r="W79" s="18"/>
      <c r="X79" s="18"/>
    </row>
    <row r="80" spans="1:24" ht="16.5" thickTop="1" thickBot="1" x14ac:dyDescent="0.3">
      <c r="A80" s="6" t="s">
        <v>3</v>
      </c>
      <c r="B80" s="37">
        <f>(B69)*(1-$G$119)</f>
        <v>2.2214260773627356E-2</v>
      </c>
      <c r="C80" s="7" t="s">
        <v>27</v>
      </c>
      <c r="D80" s="38">
        <f>(B80*B$115)/1000</f>
        <v>3.7833107523564744E-4</v>
      </c>
      <c r="E80" s="8" t="s">
        <v>43</v>
      </c>
      <c r="G80" t="s">
        <v>96</v>
      </c>
      <c r="H80" s="4">
        <v>1.197447E-6</v>
      </c>
      <c r="I80" s="4">
        <v>1.1993393215484866E-6</v>
      </c>
      <c r="J80" s="4">
        <v>1.201146E-6</v>
      </c>
      <c r="M80" s="16">
        <f>(((H80/$B$115)*1000*$H$2)  * $B$115 )/1000</f>
        <v>3.7773465615000001E-4</v>
      </c>
      <c r="N80" s="16">
        <f>(((I80/$B$115)*1000*$H$2)  * $B$115 )/1000</f>
        <v>3.7833158898247003E-4</v>
      </c>
      <c r="O80" s="16">
        <f>(((J80/$B$115)*1000*$H$2)  * $B$115 )/1000</f>
        <v>3.7890150570000001E-4</v>
      </c>
      <c r="Q80" s="19">
        <f>M80-$D80</f>
        <v>-5.9641908564743006E-7</v>
      </c>
      <c r="R80" s="19">
        <f>N80-$D80</f>
        <v>5.1374682259004364E-10</v>
      </c>
      <c r="S80" s="19">
        <f>O80-$D80</f>
        <v>5.7043046435256142E-7</v>
      </c>
      <c r="V80" s="20">
        <f t="shared" ref="V80:X80" si="28">ABS(Q80/M80)</f>
        <v>1.5789366316724446E-3</v>
      </c>
      <c r="W80" s="20">
        <f t="shared" si="28"/>
        <v>1.3579273778638877E-6</v>
      </c>
      <c r="X80" s="20">
        <f t="shared" si="28"/>
        <v>1.5054848180102163E-3</v>
      </c>
    </row>
    <row r="81" spans="1:24" ht="15.75" thickTop="1" x14ac:dyDescent="0.25">
      <c r="A81" s="6" t="s">
        <v>38</v>
      </c>
      <c r="B81" s="37">
        <f>(B70)*(1-$G$119)</f>
        <v>0</v>
      </c>
      <c r="C81" s="7" t="s">
        <v>27</v>
      </c>
      <c r="D81" s="38">
        <f>B81*B$116/1000</f>
        <v>0</v>
      </c>
      <c r="E81" s="8" t="s">
        <v>43</v>
      </c>
      <c r="G81" t="s">
        <v>74</v>
      </c>
    </row>
    <row r="82" spans="1:24" x14ac:dyDescent="0.25">
      <c r="A82" s="6" t="s">
        <v>5</v>
      </c>
      <c r="B82" s="37">
        <f>(B71)*(1-$G$118)</f>
        <v>0.11107119279684524</v>
      </c>
      <c r="C82" s="7" t="s">
        <v>27</v>
      </c>
      <c r="D82" s="38">
        <f>(B82*B$117)/1000</f>
        <v>1.7727962011111674E-2</v>
      </c>
      <c r="E82" s="8" t="s">
        <v>43</v>
      </c>
      <c r="G82" t="s">
        <v>75</v>
      </c>
      <c r="V82" s="18"/>
      <c r="W82" s="18"/>
      <c r="X82" s="18"/>
    </row>
    <row r="83" spans="1:24" ht="15.75" thickBot="1" x14ac:dyDescent="0.3">
      <c r="A83" s="6" t="s">
        <v>39</v>
      </c>
      <c r="B83" s="37">
        <f>(B72)*(1-$G$118)</f>
        <v>0.11107119279684524</v>
      </c>
      <c r="C83" s="7" t="s">
        <v>27</v>
      </c>
      <c r="D83" s="38">
        <f>B83*B$118/1000</f>
        <v>1.0619627814499171E-2</v>
      </c>
      <c r="E83" s="8" t="s">
        <v>43</v>
      </c>
      <c r="G83" t="s">
        <v>76</v>
      </c>
      <c r="V83" s="18"/>
      <c r="W83" s="18"/>
      <c r="X83" s="18"/>
    </row>
    <row r="84" spans="1:24" ht="16.5" thickTop="1" thickBot="1" x14ac:dyDescent="0.3">
      <c r="A84" s="6" t="s">
        <v>2</v>
      </c>
      <c r="B84" s="37">
        <f>(B73)*(1-$G$118)</f>
        <v>0.11107130386814912</v>
      </c>
      <c r="C84" s="7" t="s">
        <v>27</v>
      </c>
      <c r="D84" s="38">
        <f>(B84*B$119)/1000</f>
        <v>3.7854100000000034E-3</v>
      </c>
      <c r="E84" s="8" t="s">
        <v>43</v>
      </c>
      <c r="G84" t="s">
        <v>78</v>
      </c>
      <c r="H84" s="4">
        <v>1.198111E-5</v>
      </c>
      <c r="I84" s="4">
        <v>1.2000047995259738E-5</v>
      </c>
      <c r="J84" s="4">
        <v>1.201813E-5</v>
      </c>
      <c r="M84" s="16">
        <f>(((H84/$B$119)*1000*$H$2)  * $B$119 )/1000</f>
        <v>3.7794411494999998E-3</v>
      </c>
      <c r="N84" s="16">
        <f>(((I84/$B$119)*1000*$H$2)  * $B$119 )/1000</f>
        <v>3.7854151401046842E-3</v>
      </c>
      <c r="O84" s="16">
        <f>(((J84/$B$119)*1000*$H$2)  * $B$119 )/1000</f>
        <v>3.7911191084999997E-3</v>
      </c>
      <c r="Q84" s="19">
        <f>M84-$D84</f>
        <v>-5.9688505000036161E-6</v>
      </c>
      <c r="R84" s="19">
        <f>N84-$D84</f>
        <v>5.1401046808653705E-9</v>
      </c>
      <c r="S84" s="19">
        <f>O84-$D84</f>
        <v>5.7091084999963231E-6</v>
      </c>
      <c r="V84" s="20">
        <f t="shared" ref="V84" si="29">ABS(Q84/M84)</f>
        <v>1.5792944681234853E-3</v>
      </c>
      <c r="W84" s="20">
        <f t="shared" ref="W84" si="30">ABS(R84/N84)</f>
        <v>1.3578707990065319E-6</v>
      </c>
      <c r="X84" s="20">
        <f t="shared" ref="X84" si="31">ABS(S84/O84)</f>
        <v>1.5059164158667646E-3</v>
      </c>
    </row>
    <row r="85" spans="1:24" ht="16.5" thickTop="1" thickBot="1" x14ac:dyDescent="0.3">
      <c r="A85" s="6" t="s">
        <v>47</v>
      </c>
      <c r="B85" s="37">
        <f>(B74)*(1-$G$118)</f>
        <v>0</v>
      </c>
      <c r="C85" s="7" t="s">
        <v>27</v>
      </c>
      <c r="D85" s="38">
        <f>B85*B$120/1000</f>
        <v>0</v>
      </c>
      <c r="E85" s="8" t="s">
        <v>43</v>
      </c>
      <c r="G85" t="s">
        <v>77</v>
      </c>
      <c r="V85" s="18"/>
      <c r="W85" s="18"/>
      <c r="X85" s="18"/>
    </row>
    <row r="86" spans="1:24" ht="16.5" thickTop="1" thickBot="1" x14ac:dyDescent="0.3">
      <c r="A86" s="6" t="s">
        <v>4</v>
      </c>
      <c r="B86" s="36">
        <f>B$11</f>
        <v>17559.210607143861</v>
      </c>
      <c r="C86" s="7" t="s">
        <v>27</v>
      </c>
      <c r="D86" s="34">
        <f>B86*B$121/1000</f>
        <v>316.33409566666671</v>
      </c>
      <c r="E86" s="8" t="s">
        <v>43</v>
      </c>
      <c r="G86" t="s">
        <v>73</v>
      </c>
      <c r="H86" s="4">
        <f>1000000-(H84+H81)</f>
        <v>999999.99998801888</v>
      </c>
      <c r="I86" s="4">
        <f>1000000-(I84+I81)</f>
        <v>999999.99998799991</v>
      </c>
      <c r="J86" s="4">
        <f t="shared" ref="J86" si="32">1000000-(J84+J81)</f>
        <v>999999.99998798186</v>
      </c>
      <c r="M86" s="16">
        <f>(((H86/$B$121)/1000*$H$2)  * $B$121 )/1000</f>
        <v>315.44999999622053</v>
      </c>
      <c r="N86" s="16">
        <f>(((I86/$B$121)/1000*$H$2)  * $B$121 )/1000</f>
        <v>315.44999999621456</v>
      </c>
      <c r="O86" s="16">
        <f>(((J86/$B$121)/1000*$H$2)  * $B$121 )/1000</f>
        <v>315.44999999620887</v>
      </c>
      <c r="Q86" s="19">
        <f>M86-$D86</f>
        <v>-0.88409567044618598</v>
      </c>
      <c r="R86" s="19">
        <f>N86-$D86</f>
        <v>-0.88409567045215454</v>
      </c>
      <c r="S86" s="19">
        <f>O86-$D86</f>
        <v>-0.88409567045783888</v>
      </c>
      <c r="V86" s="20">
        <f t="shared" ref="V86:X86" si="33">ABS(Q86/M86)</f>
        <v>2.8026491376027217E-3</v>
      </c>
      <c r="W86" s="20">
        <f t="shared" si="33"/>
        <v>2.8026491376216952E-3</v>
      </c>
      <c r="X86" s="20">
        <f t="shared" si="33"/>
        <v>2.8026491376397658E-3</v>
      </c>
    </row>
    <row r="87" spans="1:24" ht="15.75" thickTop="1" x14ac:dyDescent="0.25">
      <c r="A87" s="6"/>
      <c r="B87" s="7"/>
      <c r="C87" s="7"/>
      <c r="D87" s="7"/>
      <c r="E87" s="8"/>
      <c r="V87" s="18"/>
      <c r="W87" s="18"/>
      <c r="X87" s="18"/>
    </row>
    <row r="88" spans="1:24" x14ac:dyDescent="0.25">
      <c r="A88" s="6" t="s">
        <v>53</v>
      </c>
      <c r="B88" s="7"/>
      <c r="C88" s="7"/>
      <c r="D88" s="7"/>
      <c r="E88" s="8"/>
      <c r="V88" s="18"/>
      <c r="W88" s="18"/>
      <c r="X88" s="18"/>
    </row>
    <row r="89" spans="1:24" x14ac:dyDescent="0.25">
      <c r="A89" s="6" t="s">
        <v>0</v>
      </c>
      <c r="B89" s="24">
        <f>B$2</f>
        <v>5000</v>
      </c>
      <c r="C89" s="7" t="s">
        <v>26</v>
      </c>
      <c r="D89" s="7"/>
      <c r="E89" s="8"/>
      <c r="V89" s="18"/>
      <c r="W89" s="18"/>
      <c r="X89" s="18"/>
    </row>
    <row r="90" spans="1:24" ht="15.75" thickBot="1" x14ac:dyDescent="0.3">
      <c r="A90" s="6"/>
      <c r="B90" s="7" t="s">
        <v>41</v>
      </c>
      <c r="C90" s="7"/>
      <c r="D90" s="7" t="s">
        <v>42</v>
      </c>
      <c r="E90" s="8"/>
      <c r="V90" s="18"/>
      <c r="W90" s="18"/>
      <c r="X90" s="18"/>
    </row>
    <row r="91" spans="1:24" ht="16.5" thickTop="1" thickBot="1" x14ac:dyDescent="0.3">
      <c r="A91" s="6" t="s">
        <v>3</v>
      </c>
      <c r="B91" s="37">
        <f>(B80)*(1-$G$121)</f>
        <v>2.2214260773624908E-6</v>
      </c>
      <c r="C91" s="7" t="s">
        <v>27</v>
      </c>
      <c r="D91" s="39">
        <f>(B91*B$115)/1000</f>
        <v>3.7833107523560577E-8</v>
      </c>
      <c r="E91" s="8" t="s">
        <v>43</v>
      </c>
      <c r="G91" t="s">
        <v>84</v>
      </c>
      <c r="H91" s="4">
        <v>1.1973999999999999E-10</v>
      </c>
      <c r="I91" s="4">
        <v>1.1993399170452167E-10</v>
      </c>
      <c r="J91" s="4">
        <v>1.2011000000000001E-10</v>
      </c>
      <c r="M91" s="16">
        <f>(((H91/$B$115)*1000*$H$2)  * $B$115 )/1000</f>
        <v>3.7771982999999987E-8</v>
      </c>
      <c r="N91" s="16">
        <f>(((I91/$B$115)*1000*$H$2)  * $B$115 )/1000</f>
        <v>3.7833177683191357E-8</v>
      </c>
      <c r="O91" s="16">
        <f>(((J91/$B$115)*1000*$H$2)  * $B$115 )/1000</f>
        <v>3.7888699500000004E-8</v>
      </c>
      <c r="Q91" s="19">
        <f>M91-$D91</f>
        <v>-6.1124523560590019E-11</v>
      </c>
      <c r="R91" s="19">
        <f>N91-$D91</f>
        <v>7.0159630779527461E-14</v>
      </c>
      <c r="S91" s="19">
        <f>O91-$D91</f>
        <v>5.5591976439427463E-11</v>
      </c>
      <c r="V91" s="20">
        <f t="shared" ref="V91:X91" si="34">ABS(Q91/M91)</f>
        <v>1.6182503195712559E-3</v>
      </c>
      <c r="W91" s="20">
        <f t="shared" si="34"/>
        <v>1.8544472094581208E-6</v>
      </c>
      <c r="X91" s="20">
        <f t="shared" si="34"/>
        <v>1.4672442488934585E-3</v>
      </c>
    </row>
    <row r="92" spans="1:24" ht="15.75" thickTop="1" x14ac:dyDescent="0.25">
      <c r="A92" s="6" t="s">
        <v>38</v>
      </c>
      <c r="B92" s="37">
        <f>(B81)*(1-$G$121)</f>
        <v>0</v>
      </c>
      <c r="C92" s="7" t="s">
        <v>27</v>
      </c>
      <c r="D92" s="39">
        <f>B92*B$116/1000</f>
        <v>0</v>
      </c>
      <c r="E92" s="8" t="s">
        <v>43</v>
      </c>
      <c r="G92" t="s">
        <v>79</v>
      </c>
      <c r="V92" s="18"/>
      <c r="W92" s="18"/>
      <c r="X92" s="18"/>
    </row>
    <row r="93" spans="1:24" x14ac:dyDescent="0.25">
      <c r="A93" s="6" t="s">
        <v>5</v>
      </c>
      <c r="B93" s="37">
        <f>(B82)*(1-$G$120)</f>
        <v>1.1107119279684534E-4</v>
      </c>
      <c r="C93" s="7" t="s">
        <v>27</v>
      </c>
      <c r="D93" s="39">
        <f>(B93*B$117)/1000</f>
        <v>1.7727962011111686E-5</v>
      </c>
      <c r="E93" s="8" t="s">
        <v>43</v>
      </c>
      <c r="G93" t="s">
        <v>80</v>
      </c>
      <c r="V93" s="18"/>
      <c r="W93" s="18"/>
      <c r="X93" s="18"/>
    </row>
    <row r="94" spans="1:24" ht="15.75" thickBot="1" x14ac:dyDescent="0.3">
      <c r="A94" s="6" t="s">
        <v>39</v>
      </c>
      <c r="B94" s="37">
        <f>(B83)*(1-$G$120)</f>
        <v>1.1107119279684534E-4</v>
      </c>
      <c r="C94" s="7" t="s">
        <v>27</v>
      </c>
      <c r="D94" s="39">
        <f>B94*B$118/1000</f>
        <v>1.0619627814499179E-5</v>
      </c>
      <c r="E94" s="8" t="s">
        <v>43</v>
      </c>
      <c r="G94" t="s">
        <v>81</v>
      </c>
      <c r="V94" s="18"/>
      <c r="W94" s="18"/>
      <c r="X94" s="18"/>
    </row>
    <row r="95" spans="1:24" ht="16.5" thickTop="1" thickBot="1" x14ac:dyDescent="0.3">
      <c r="A95" s="6" t="s">
        <v>2</v>
      </c>
      <c r="B95" s="37">
        <f>(B84)*(1-$G$120)</f>
        <v>1.1107130386814921E-4</v>
      </c>
      <c r="C95" s="7" t="s">
        <v>27</v>
      </c>
      <c r="D95" s="39">
        <f>(B95*B$119)/1000</f>
        <v>3.7854100000000064E-6</v>
      </c>
      <c r="E95" s="8" t="s">
        <v>43</v>
      </c>
      <c r="G95" t="s">
        <v>83</v>
      </c>
      <c r="H95" s="4">
        <v>1.1981E-8</v>
      </c>
      <c r="I95" s="4">
        <v>1.2000049772861954E-8</v>
      </c>
      <c r="J95" s="4">
        <v>1.2018E-8</v>
      </c>
      <c r="M95" s="16">
        <f>(((H95/$B$119)*1000*$H$2)  * $B$119 )/1000</f>
        <v>3.7794064500000001E-6</v>
      </c>
      <c r="N95" s="16">
        <f>(((I95/$B$119)*1000*$H$2)  * $B$119 )/1000</f>
        <v>3.785415700849303E-6</v>
      </c>
      <c r="O95" s="16">
        <f>(((J95/$B$119)*1000*$H$2)  * $B$119 )/1000</f>
        <v>3.7910781000000002E-6</v>
      </c>
      <c r="Q95" s="19">
        <f>M95-$D95</f>
        <v>-6.0035500000063404E-9</v>
      </c>
      <c r="R95" s="19">
        <f>N95-$D95</f>
        <v>5.7008492965672129E-12</v>
      </c>
      <c r="S95" s="19">
        <f>O95-$D95</f>
        <v>5.6680999999937667E-9</v>
      </c>
      <c r="V95" s="20">
        <f t="shared" ref="V95" si="35">ABS(Q95/M95)</f>
        <v>1.5884901715205414E-3</v>
      </c>
      <c r="W95" s="20">
        <f t="shared" ref="W95" si="36">ABS(R95/N95)</f>
        <v>1.5060035005635338E-6</v>
      </c>
      <c r="X95" s="20">
        <f t="shared" ref="X95" si="37">ABS(S95/O95)</f>
        <v>1.4951155978542795E-3</v>
      </c>
    </row>
    <row r="96" spans="1:24" ht="16.5" thickTop="1" thickBot="1" x14ac:dyDescent="0.3">
      <c r="A96" s="6" t="s">
        <v>47</v>
      </c>
      <c r="B96" s="37">
        <f>(B85)*(1-$G$120)</f>
        <v>0</v>
      </c>
      <c r="C96" s="7" t="s">
        <v>27</v>
      </c>
      <c r="D96" s="39">
        <f>B96*B$120/1000</f>
        <v>0</v>
      </c>
      <c r="E96" s="8" t="s">
        <v>43</v>
      </c>
      <c r="G96" t="s">
        <v>82</v>
      </c>
      <c r="V96" s="18"/>
      <c r="W96" s="18"/>
      <c r="X96" s="18"/>
    </row>
    <row r="97" spans="1:24" ht="16.5" thickTop="1" thickBot="1" x14ac:dyDescent="0.3">
      <c r="A97" s="23" t="s">
        <v>4</v>
      </c>
      <c r="B97" s="40">
        <f>B$11</f>
        <v>17559.210607143861</v>
      </c>
      <c r="C97" s="11" t="s">
        <v>27</v>
      </c>
      <c r="D97" s="41">
        <f>B97*B$121/1000</f>
        <v>316.33409566666671</v>
      </c>
      <c r="E97" s="12" t="s">
        <v>43</v>
      </c>
      <c r="G97" t="s">
        <v>67</v>
      </c>
      <c r="H97" s="4">
        <v>999999.99999617098</v>
      </c>
      <c r="I97" s="4">
        <v>999999.99999618495</v>
      </c>
      <c r="J97" s="4">
        <v>999999.99999618297</v>
      </c>
      <c r="M97" s="16">
        <f>(((H97/$B$121)/1000*$H$2)  * $B$121 )/1000</f>
        <v>315.44999999879212</v>
      </c>
      <c r="N97" s="16">
        <f>(((I97/$B$121)/1000*$H$2)  * $B$121 )/1000</f>
        <v>315.4499999987965</v>
      </c>
      <c r="O97" s="16">
        <f>(((J97/$B$121)/1000*$H$2)  * $B$121 )/1000</f>
        <v>315.44999999879587</v>
      </c>
      <c r="Q97" s="19">
        <f>M97-$D97</f>
        <v>-0.88409566787458971</v>
      </c>
      <c r="R97" s="19">
        <f>N97-$D97</f>
        <v>-0.88409566787021276</v>
      </c>
      <c r="S97" s="19">
        <f>O97-$D97</f>
        <v>-0.88409566787083804</v>
      </c>
      <c r="V97" s="20">
        <f t="shared" ref="V97:X97" si="38">ABS(Q97/M97)</f>
        <v>2.8026491294277224E-3</v>
      </c>
      <c r="W97" s="20">
        <f t="shared" si="38"/>
        <v>2.8026491294138082E-3</v>
      </c>
      <c r="X97" s="20">
        <f t="shared" si="38"/>
        <v>2.8026491294157957E-3</v>
      </c>
    </row>
    <row r="98" spans="1:24" x14ac:dyDescent="0.25">
      <c r="U98" t="s">
        <v>93</v>
      </c>
      <c r="V98" s="18">
        <f>MIN(V2:V97)</f>
        <v>0</v>
      </c>
      <c r="W98" s="18">
        <f t="shared" ref="W98:X98" si="39">MIN(W2:W97)</f>
        <v>0</v>
      </c>
      <c r="X98" s="18">
        <f t="shared" si="39"/>
        <v>0</v>
      </c>
    </row>
    <row r="99" spans="1:24" x14ac:dyDescent="0.25">
      <c r="U99" t="s">
        <v>94</v>
      </c>
      <c r="V99" s="18">
        <f>AVERAGE(V2:V97)</f>
        <v>1.4492714982225216E-3</v>
      </c>
      <c r="W99" s="18">
        <f t="shared" ref="W99:X99" si="40">AVERAGE(W2:W97)</f>
        <v>5.8112368054863103E-4</v>
      </c>
      <c r="X99" s="18">
        <f t="shared" si="40"/>
        <v>1.4078066711098282E-3</v>
      </c>
    </row>
    <row r="100" spans="1:24" x14ac:dyDescent="0.25">
      <c r="U100" t="s">
        <v>95</v>
      </c>
      <c r="V100" s="18">
        <f>MAX(V2:V97)</f>
        <v>2.8146639583866589E-3</v>
      </c>
      <c r="W100" s="18">
        <f t="shared" ref="W100:X100" si="41">MAX(W2:W97)</f>
        <v>2.8146829499115351E-3</v>
      </c>
      <c r="X100" s="18">
        <f t="shared" si="41"/>
        <v>2.814701083031263E-3</v>
      </c>
    </row>
    <row r="112" spans="1:24" ht="15.75" thickBot="1" x14ac:dyDescent="0.3"/>
    <row r="113" spans="1:7" ht="15.75" thickBot="1" x14ac:dyDescent="0.3">
      <c r="A113" s="43" t="s">
        <v>98</v>
      </c>
      <c r="B113" s="44"/>
      <c r="C113" s="44"/>
      <c r="D113" s="44"/>
      <c r="E113" s="44"/>
      <c r="F113" s="44"/>
      <c r="G113" s="45"/>
    </row>
    <row r="114" spans="1:7" x14ac:dyDescent="0.25">
      <c r="A114" s="5" t="s">
        <v>12</v>
      </c>
      <c r="B114" s="42" t="s">
        <v>13</v>
      </c>
      <c r="C114" s="42"/>
      <c r="D114" s="21">
        <v>1</v>
      </c>
      <c r="E114" s="21" t="s">
        <v>23</v>
      </c>
      <c r="F114" s="21" t="s">
        <v>24</v>
      </c>
      <c r="G114" s="22">
        <f>1/1000</f>
        <v>1E-3</v>
      </c>
    </row>
    <row r="115" spans="1:7" x14ac:dyDescent="0.25">
      <c r="A115" s="6" t="s">
        <v>14</v>
      </c>
      <c r="B115" s="7">
        <v>17.030999999999999</v>
      </c>
      <c r="C115" s="7" t="s">
        <v>21</v>
      </c>
      <c r="D115" s="7">
        <v>1</v>
      </c>
      <c r="E115" s="7" t="s">
        <v>26</v>
      </c>
      <c r="F115" s="7" t="s">
        <v>24</v>
      </c>
      <c r="G115" s="8">
        <v>3.7854100000000002</v>
      </c>
    </row>
    <row r="116" spans="1:7" x14ac:dyDescent="0.25">
      <c r="A116" s="6" t="s">
        <v>17</v>
      </c>
      <c r="B116" s="7">
        <v>132.13999999999999</v>
      </c>
      <c r="C116" s="7" t="s">
        <v>21</v>
      </c>
      <c r="D116" s="7">
        <v>1</v>
      </c>
      <c r="E116" s="7" t="s">
        <v>50</v>
      </c>
      <c r="F116" s="7" t="s">
        <v>24</v>
      </c>
      <c r="G116" s="8">
        <v>0.99999899999999997</v>
      </c>
    </row>
    <row r="117" spans="1:7" x14ac:dyDescent="0.25">
      <c r="A117" s="6" t="s">
        <v>15</v>
      </c>
      <c r="B117" s="7">
        <v>159.60900000000001</v>
      </c>
      <c r="C117" s="7" t="s">
        <v>21</v>
      </c>
      <c r="D117" s="7">
        <v>1</v>
      </c>
      <c r="E117" s="7" t="s">
        <v>51</v>
      </c>
      <c r="F117" s="7" t="s">
        <v>24</v>
      </c>
      <c r="G117" s="8">
        <f>G116/2</f>
        <v>0.49999949999999999</v>
      </c>
    </row>
    <row r="118" spans="1:7" x14ac:dyDescent="0.25">
      <c r="A118" s="6" t="s">
        <v>16</v>
      </c>
      <c r="B118" s="7">
        <v>95.611000000000004</v>
      </c>
      <c r="C118" s="7" t="s">
        <v>21</v>
      </c>
      <c r="D118" s="7"/>
      <c r="E118" s="7" t="s">
        <v>88</v>
      </c>
      <c r="F118" s="7" t="s">
        <v>24</v>
      </c>
      <c r="G118" s="8">
        <v>0.999</v>
      </c>
    </row>
    <row r="119" spans="1:7" x14ac:dyDescent="0.25">
      <c r="A119" s="6" t="s">
        <v>18</v>
      </c>
      <c r="B119" s="7">
        <v>34.0809</v>
      </c>
      <c r="C119" s="7" t="s">
        <v>21</v>
      </c>
      <c r="D119" s="7"/>
      <c r="E119" s="7" t="s">
        <v>87</v>
      </c>
      <c r="F119" s="7" t="s">
        <v>24</v>
      </c>
      <c r="G119" s="8">
        <v>0.99990000000000001</v>
      </c>
    </row>
    <row r="120" spans="1:7" x14ac:dyDescent="0.25">
      <c r="A120" s="6" t="s">
        <v>19</v>
      </c>
      <c r="B120" s="7">
        <v>98.078999999999994</v>
      </c>
      <c r="C120" s="7" t="s">
        <v>21</v>
      </c>
      <c r="D120" s="7"/>
      <c r="E120" s="7" t="s">
        <v>89</v>
      </c>
      <c r="F120" s="7" t="s">
        <v>24</v>
      </c>
      <c r="G120" s="8">
        <v>0.999</v>
      </c>
    </row>
    <row r="121" spans="1:7" x14ac:dyDescent="0.25">
      <c r="A121" s="6" t="s">
        <v>20</v>
      </c>
      <c r="B121" s="7">
        <v>18.015280000000001</v>
      </c>
      <c r="C121" s="7" t="s">
        <v>21</v>
      </c>
      <c r="D121" s="7"/>
      <c r="E121" s="7" t="s">
        <v>90</v>
      </c>
      <c r="F121" s="7" t="s">
        <v>24</v>
      </c>
      <c r="G121" s="8">
        <v>0.99990000000000001</v>
      </c>
    </row>
    <row r="122" spans="1:7" x14ac:dyDescent="0.25">
      <c r="A122" s="10" t="s">
        <v>30</v>
      </c>
      <c r="B122" s="7">
        <f>B11</f>
        <v>17559.210607143861</v>
      </c>
      <c r="C122" s="7" t="s">
        <v>33</v>
      </c>
      <c r="D122" s="7"/>
      <c r="E122" s="7"/>
      <c r="F122" s="7"/>
      <c r="G122" s="8"/>
    </row>
    <row r="123" spans="1:7" x14ac:dyDescent="0.25">
      <c r="A123" s="10" t="s">
        <v>31</v>
      </c>
      <c r="B123" s="7">
        <v>8.3144620000000007</v>
      </c>
      <c r="C123" s="7" t="s">
        <v>36</v>
      </c>
      <c r="D123" s="7"/>
      <c r="E123" s="7"/>
      <c r="F123" s="7"/>
      <c r="G123" s="8"/>
    </row>
    <row r="124" spans="1:7" x14ac:dyDescent="0.25">
      <c r="A124" s="10" t="s">
        <v>32</v>
      </c>
      <c r="B124" s="7">
        <v>290</v>
      </c>
      <c r="C124" s="7" t="s">
        <v>34</v>
      </c>
      <c r="D124" s="7"/>
      <c r="E124" s="7"/>
      <c r="F124" s="7"/>
      <c r="G124" s="8"/>
    </row>
    <row r="125" spans="1:7" x14ac:dyDescent="0.25">
      <c r="A125" s="6" t="s">
        <v>28</v>
      </c>
      <c r="B125" s="7">
        <v>1002.8</v>
      </c>
      <c r="C125" s="7" t="s">
        <v>25</v>
      </c>
      <c r="D125" s="7"/>
      <c r="E125" s="7"/>
      <c r="F125" s="7"/>
      <c r="G125" s="8"/>
    </row>
    <row r="126" spans="1:7" ht="15.75" thickBot="1" x14ac:dyDescent="0.3">
      <c r="A126" s="23" t="s">
        <v>54</v>
      </c>
      <c r="B126" s="11">
        <v>0.8</v>
      </c>
      <c r="C126" s="11"/>
      <c r="D126" s="11"/>
      <c r="E126" s="11"/>
      <c r="F126" s="11"/>
      <c r="G126" s="12"/>
    </row>
  </sheetData>
  <mergeCells count="6">
    <mergeCell ref="A113:G113"/>
    <mergeCell ref="M1:O1"/>
    <mergeCell ref="Q1:S1"/>
    <mergeCell ref="V1:X1"/>
    <mergeCell ref="A1:C1"/>
    <mergeCell ref="A8:E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6"/>
  <sheetViews>
    <sheetView topLeftCell="H73" workbookViewId="0">
      <selection activeCell="F6" sqref="F6"/>
    </sheetView>
  </sheetViews>
  <sheetFormatPr defaultRowHeight="15" x14ac:dyDescent="0.25"/>
  <cols>
    <col min="1" max="1" width="34.28515625" bestFit="1" customWidth="1"/>
    <col min="2" max="2" width="14.5703125" bestFit="1" customWidth="1"/>
    <col min="3" max="5" width="9.5703125" customWidth="1"/>
    <col min="6" max="6" width="18.42578125" bestFit="1" customWidth="1"/>
    <col min="7" max="7" width="45.7109375" bestFit="1" customWidth="1"/>
    <col min="8" max="8" width="15.28515625" bestFit="1" customWidth="1"/>
    <col min="9" max="9" width="15.140625" bestFit="1" customWidth="1"/>
    <col min="10" max="10" width="16.42578125" bestFit="1" customWidth="1"/>
    <col min="11" max="12" width="9.5703125" customWidth="1"/>
    <col min="13" max="15" width="12" bestFit="1" customWidth="1"/>
    <col min="16" max="18" width="9.5703125" customWidth="1"/>
    <col min="19" max="19" width="20.5703125" customWidth="1"/>
    <col min="22" max="24" width="11.140625" bestFit="1" customWidth="1"/>
    <col min="25" max="25" width="7.140625" customWidth="1"/>
    <col min="26" max="26" width="7.5703125" customWidth="1"/>
    <col min="27" max="27" width="5.42578125" customWidth="1"/>
  </cols>
  <sheetData>
    <row r="1" spans="1:24" ht="15.75" thickBot="1" x14ac:dyDescent="0.3">
      <c r="A1" s="27" t="s">
        <v>99</v>
      </c>
      <c r="B1" s="28"/>
      <c r="C1" s="29"/>
      <c r="G1" s="3" t="s">
        <v>60</v>
      </c>
      <c r="H1" s="3" t="s">
        <v>55</v>
      </c>
      <c r="I1" s="3" t="s">
        <v>56</v>
      </c>
      <c r="J1" s="3" t="s">
        <v>57</v>
      </c>
      <c r="K1" s="2"/>
      <c r="L1" s="2"/>
      <c r="M1" s="47" t="s">
        <v>85</v>
      </c>
      <c r="N1" s="47"/>
      <c r="O1" s="47"/>
      <c r="P1" s="14"/>
      <c r="Q1" s="49" t="s">
        <v>91</v>
      </c>
      <c r="R1" s="49"/>
      <c r="S1" s="49"/>
      <c r="V1" s="13" t="s">
        <v>92</v>
      </c>
      <c r="W1" s="13"/>
      <c r="X1" s="13"/>
    </row>
    <row r="2" spans="1:24" ht="16.5" thickTop="1" thickBot="1" x14ac:dyDescent="0.3">
      <c r="A2" s="6" t="s">
        <v>0</v>
      </c>
      <c r="B2" s="25">
        <v>5000</v>
      </c>
      <c r="C2" s="8" t="s">
        <v>22</v>
      </c>
      <c r="G2" s="15" t="s">
        <v>59</v>
      </c>
      <c r="H2" s="4">
        <v>315.45</v>
      </c>
      <c r="I2" s="4">
        <v>315.45</v>
      </c>
      <c r="J2" s="4">
        <v>315.45</v>
      </c>
      <c r="M2" s="16">
        <f>(H2/$G$115)*60</f>
        <v>4999.9867913911567</v>
      </c>
      <c r="N2" s="16">
        <f>(I2/$G$115)*60</f>
        <v>4999.9867913911567</v>
      </c>
      <c r="O2" s="16">
        <f>(J2/$G$115)*60</f>
        <v>4999.9867913911567</v>
      </c>
      <c r="Q2" s="19">
        <f>M2-$B2</f>
        <v>-1.3208608843342518E-2</v>
      </c>
      <c r="R2" s="19">
        <f>N2-$B2</f>
        <v>-1.3208608843342518E-2</v>
      </c>
      <c r="S2" s="19">
        <f>O2-$B2</f>
        <v>-1.3208608843342518E-2</v>
      </c>
      <c r="V2" s="20">
        <f t="shared" ref="V2:X3" si="0">ABS(Q2/M2)</f>
        <v>2.6417287473808424E-6</v>
      </c>
      <c r="W2" s="20">
        <f t="shared" si="0"/>
        <v>2.6417287473808424E-6</v>
      </c>
      <c r="X2" s="20">
        <f t="shared" si="0"/>
        <v>2.6417287473808424E-6</v>
      </c>
    </row>
    <row r="3" spans="1:24" ht="16.5" thickTop="1" thickBot="1" x14ac:dyDescent="0.3">
      <c r="A3" s="10" t="s">
        <v>29</v>
      </c>
      <c r="B3" s="9">
        <f>(70000-100)/1.1</f>
        <v>63545.454545454537</v>
      </c>
      <c r="C3" s="8" t="s">
        <v>35</v>
      </c>
    </row>
    <row r="4" spans="1:24" ht="16.5" thickTop="1" thickBot="1" x14ac:dyDescent="0.3">
      <c r="A4" s="6" t="s">
        <v>58</v>
      </c>
      <c r="B4" s="25">
        <v>12000</v>
      </c>
      <c r="C4" s="8" t="s">
        <v>23</v>
      </c>
      <c r="G4" t="s">
        <v>58</v>
      </c>
      <c r="H4" s="4">
        <v>11980.09</v>
      </c>
      <c r="I4" s="4">
        <v>11999.95447920788</v>
      </c>
      <c r="J4" s="4">
        <v>12019.04</v>
      </c>
      <c r="M4" s="16">
        <f>H4</f>
        <v>11980.09</v>
      </c>
      <c r="N4" s="16">
        <f>I4</f>
        <v>11999.95447920788</v>
      </c>
      <c r="O4" s="16">
        <f>J4</f>
        <v>12019.04</v>
      </c>
      <c r="Q4" s="19">
        <f>M4-$B4</f>
        <v>-19.909999999999854</v>
      </c>
      <c r="R4" s="19">
        <f>N4-$B4</f>
        <v>-4.5520792120441911E-2</v>
      </c>
      <c r="S4" s="19">
        <f>O4-$B4</f>
        <v>19.040000000000873</v>
      </c>
      <c r="V4" s="20">
        <f t="shared" ref="V4" si="1">ABS(Q4/M4)</f>
        <v>1.6619240756955795E-3</v>
      </c>
      <c r="W4" s="20">
        <f t="shared" ref="W4" si="2">ABS(R4/N4)</f>
        <v>3.7934137333033243E-6</v>
      </c>
      <c r="X4" s="20">
        <f t="shared" ref="X4" si="3">ABS(S4/O4)</f>
        <v>1.584153143678769E-3</v>
      </c>
    </row>
    <row r="5" spans="1:24" ht="16.5" thickTop="1" thickBot="1" x14ac:dyDescent="0.3">
      <c r="A5" s="23" t="s">
        <v>1</v>
      </c>
      <c r="B5" s="26">
        <v>0</v>
      </c>
      <c r="C5" s="12" t="s">
        <v>23</v>
      </c>
      <c r="G5" t="s">
        <v>1</v>
      </c>
      <c r="H5" s="4">
        <v>0</v>
      </c>
      <c r="I5" s="4">
        <v>0</v>
      </c>
      <c r="J5" s="4">
        <v>0</v>
      </c>
      <c r="M5" s="16">
        <f>H5</f>
        <v>0</v>
      </c>
      <c r="N5" s="16">
        <f>I5</f>
        <v>0</v>
      </c>
      <c r="O5" s="16">
        <f>J5</f>
        <v>0</v>
      </c>
      <c r="Q5" s="19">
        <f>M5-$B5</f>
        <v>0</v>
      </c>
      <c r="R5" s="19">
        <f>N5-$B5</f>
        <v>0</v>
      </c>
      <c r="S5" s="19">
        <f>O5-$B5</f>
        <v>0</v>
      </c>
      <c r="V5" s="20">
        <v>0</v>
      </c>
      <c r="W5" s="20">
        <v>0</v>
      </c>
      <c r="X5" s="20">
        <v>0</v>
      </c>
    </row>
    <row r="7" spans="1:24" ht="15.75" thickBot="1" x14ac:dyDescent="0.3">
      <c r="E7" s="46"/>
    </row>
    <row r="8" spans="1:24" ht="15.75" thickBot="1" x14ac:dyDescent="0.3">
      <c r="A8" s="27" t="s">
        <v>100</v>
      </c>
      <c r="B8" s="28"/>
      <c r="C8" s="28"/>
      <c r="D8" s="28"/>
      <c r="E8" s="29"/>
    </row>
    <row r="9" spans="1:24" ht="16.5" thickTop="1" thickBot="1" x14ac:dyDescent="0.3">
      <c r="A9" s="6" t="s">
        <v>2</v>
      </c>
      <c r="B9" s="7">
        <f>B5*B2*G115/B119/60*G114</f>
        <v>0</v>
      </c>
      <c r="C9" s="7" t="s">
        <v>27</v>
      </c>
      <c r="D9" s="7">
        <f>B$9*B$119/1000</f>
        <v>0</v>
      </c>
      <c r="E9" s="8" t="s">
        <v>43</v>
      </c>
      <c r="G9" t="s">
        <v>1</v>
      </c>
      <c r="H9" s="4">
        <f>H5</f>
        <v>0</v>
      </c>
      <c r="I9" s="4">
        <f t="shared" ref="I9:J9" si="4">I5</f>
        <v>0</v>
      </c>
      <c r="J9" s="4">
        <f t="shared" si="4"/>
        <v>0</v>
      </c>
      <c r="M9" s="16">
        <f>(((H9/$B$119)/1000*$H$2)  * $B$119 )/1000</f>
        <v>0</v>
      </c>
      <c r="N9" s="16">
        <f>(((I9/$B$119)/1000*$H$2)  * $B$119 )/1000</f>
        <v>0</v>
      </c>
      <c r="O9" s="16">
        <f>(((J9/$B$119)/1000*$H$2)  * $B$119 )/1000</f>
        <v>0</v>
      </c>
      <c r="Q9" s="19">
        <f>M9-$D9</f>
        <v>0</v>
      </c>
      <c r="R9" s="19">
        <f>N9-$D9</f>
        <v>0</v>
      </c>
      <c r="S9" s="19">
        <f>O9-$D9</f>
        <v>0</v>
      </c>
      <c r="V9" s="20">
        <v>0</v>
      </c>
      <c r="W9" s="20">
        <v>0</v>
      </c>
      <c r="X9" s="20">
        <v>0</v>
      </c>
    </row>
    <row r="10" spans="1:24" ht="16.5" thickTop="1" thickBot="1" x14ac:dyDescent="0.3">
      <c r="A10" s="6" t="s">
        <v>3</v>
      </c>
      <c r="B10" s="7">
        <f>B4*B2*G115/B115/60*G114</f>
        <v>222.26586812283483</v>
      </c>
      <c r="C10" s="7" t="s">
        <v>27</v>
      </c>
      <c r="D10" s="7">
        <f>B10*B115/1000</f>
        <v>3.7854099999999997</v>
      </c>
      <c r="E10" s="8" t="s">
        <v>43</v>
      </c>
      <c r="G10" t="s">
        <v>58</v>
      </c>
      <c r="H10" s="4">
        <f>H4</f>
        <v>11980.09</v>
      </c>
      <c r="I10" s="4">
        <f t="shared" ref="I10:J10" si="5">I4</f>
        <v>11999.95447920788</v>
      </c>
      <c r="J10" s="4">
        <f t="shared" si="5"/>
        <v>12019.04</v>
      </c>
      <c r="M10" s="16">
        <f>(((H10/$B$115)/1000*$H$2)  * $B$115 )/1000</f>
        <v>3.7791193905</v>
      </c>
      <c r="N10" s="16">
        <f>(((I10/$B$115)/1000*$H$2)  * $B$115 )/1000</f>
        <v>3.7853856404661257</v>
      </c>
      <c r="O10" s="16">
        <f>(((J10/$B$115)/1000*$H$2)  * $B$115 )/1000</f>
        <v>3.7914061680000004</v>
      </c>
      <c r="Q10" s="19">
        <f>M10-$D10</f>
        <v>-6.2906094999997109E-3</v>
      </c>
      <c r="R10" s="19">
        <f>N10-$D10</f>
        <v>-2.4359533874029893E-5</v>
      </c>
      <c r="S10" s="19">
        <f>O10-$D10</f>
        <v>5.9961680000006901E-3</v>
      </c>
      <c r="V10" s="20">
        <f t="shared" ref="V10" si="6">ABS(Q10/M10)</f>
        <v>1.6645701947954139E-3</v>
      </c>
      <c r="W10" s="20">
        <f t="shared" ref="W10" si="7">ABS(R10/N10)</f>
        <v>6.4351525016696323E-6</v>
      </c>
      <c r="X10" s="20">
        <f t="shared" ref="X10" si="8">ABS(S10/O10)</f>
        <v>1.5815155998344858E-3</v>
      </c>
    </row>
    <row r="11" spans="1:24" ht="16.5" thickTop="1" thickBot="1" x14ac:dyDescent="0.3">
      <c r="A11" s="6" t="s">
        <v>4</v>
      </c>
      <c r="B11" s="7">
        <f>(B2*G115*B125)/B121/60</f>
        <v>17559.210607143861</v>
      </c>
      <c r="C11" s="7" t="s">
        <v>27</v>
      </c>
      <c r="D11" s="7">
        <f>B11*B121/1000</f>
        <v>316.33409566666671</v>
      </c>
      <c r="E11" s="8" t="s">
        <v>43</v>
      </c>
      <c r="G11" s="1" t="s">
        <v>86</v>
      </c>
      <c r="H11" s="4">
        <f>1000000-(H9+H10)/1000</f>
        <v>999988.01991000003</v>
      </c>
      <c r="I11" s="4">
        <f t="shared" ref="I11:J11" si="9">1000000-(I9+I10)/1000</f>
        <v>999988.00004552084</v>
      </c>
      <c r="J11" s="4">
        <f t="shared" si="9"/>
        <v>999987.98095999996</v>
      </c>
      <c r="M11" s="16">
        <f>(((H11/($B$121*1000))*$H$2)  * $B$121 )/1000</f>
        <v>315.44622088060953</v>
      </c>
      <c r="N11" s="16">
        <f>(((I11/($B$121*1000))*$H$2)  * $B$121 )/1000</f>
        <v>315.44621461435958</v>
      </c>
      <c r="O11" s="16">
        <f>(((J11/($B$121*1000))*$H$2)  * $B$121 )/1000</f>
        <v>315.44620859383201</v>
      </c>
      <c r="Q11" s="19">
        <f>M11-$D11</f>
        <v>-0.88787478605718206</v>
      </c>
      <c r="R11" s="19">
        <f>N11-$D11</f>
        <v>-0.88788105230713654</v>
      </c>
      <c r="S11" s="19">
        <f>O11-$D11</f>
        <v>-0.88788707283470103</v>
      </c>
      <c r="V11" s="20">
        <f t="shared" ref="V11:X12" si="10">ABS(Q11/M11)</f>
        <v>2.8146629355031202E-3</v>
      </c>
      <c r="W11" s="20">
        <f t="shared" si="10"/>
        <v>2.8146828561331511E-3</v>
      </c>
      <c r="X11" s="20">
        <f t="shared" si="10"/>
        <v>2.8147019956037667E-3</v>
      </c>
    </row>
    <row r="12" spans="1:24" ht="16.5" thickTop="1" thickBot="1" x14ac:dyDescent="0.3">
      <c r="A12" s="6"/>
      <c r="B12" s="7"/>
      <c r="C12" s="7"/>
      <c r="D12" s="7"/>
      <c r="E12" s="8"/>
      <c r="Q12" s="17"/>
      <c r="R12" s="17"/>
      <c r="S12" s="17"/>
      <c r="V12" s="18"/>
      <c r="W12" s="18"/>
      <c r="X12" s="18"/>
    </row>
    <row r="13" spans="1:24" ht="16.5" thickTop="1" thickBot="1" x14ac:dyDescent="0.3">
      <c r="A13" s="6" t="s">
        <v>5</v>
      </c>
      <c r="B13" s="7">
        <f>B9</f>
        <v>0</v>
      </c>
      <c r="C13" s="7" t="s">
        <v>27</v>
      </c>
      <c r="D13" s="7">
        <f>(B13*B117)/1000</f>
        <v>0</v>
      </c>
      <c r="E13" s="8" t="s">
        <v>43</v>
      </c>
      <c r="G13" t="s">
        <v>63</v>
      </c>
      <c r="H13" s="4">
        <v>0</v>
      </c>
      <c r="I13" s="4">
        <v>0</v>
      </c>
      <c r="J13" s="4">
        <v>0</v>
      </c>
      <c r="M13" s="16">
        <f>H13/1000</f>
        <v>0</v>
      </c>
      <c r="N13" s="16">
        <f t="shared" ref="N13:O13" si="11">I13/1000</f>
        <v>0</v>
      </c>
      <c r="O13" s="16">
        <f t="shared" si="11"/>
        <v>0</v>
      </c>
      <c r="Q13" s="19">
        <f>M13-$D13</f>
        <v>0</v>
      </c>
      <c r="R13" s="19">
        <f>N13-$D13</f>
        <v>0</v>
      </c>
      <c r="S13" s="19">
        <f>O13-$D13</f>
        <v>0</v>
      </c>
      <c r="V13" s="20">
        <v>0</v>
      </c>
      <c r="W13" s="20">
        <v>0</v>
      </c>
      <c r="X13" s="20">
        <v>0</v>
      </c>
    </row>
    <row r="14" spans="1:24" ht="16.5" thickTop="1" thickBot="1" x14ac:dyDescent="0.3">
      <c r="A14" s="6" t="s">
        <v>6</v>
      </c>
      <c r="B14" s="7">
        <f>B13</f>
        <v>0</v>
      </c>
      <c r="C14" s="7" t="s">
        <v>27</v>
      </c>
      <c r="D14" s="7">
        <f>B14*B120/1000</f>
        <v>0</v>
      </c>
      <c r="E14" s="8" t="s">
        <v>43</v>
      </c>
      <c r="G14" t="s">
        <v>65</v>
      </c>
      <c r="Q14" s="17"/>
      <c r="R14" s="17"/>
      <c r="S14" s="17"/>
      <c r="V14" s="18"/>
      <c r="W14" s="18"/>
      <c r="X14" s="18"/>
    </row>
    <row r="15" spans="1:24" ht="16.5" thickTop="1" thickBot="1" x14ac:dyDescent="0.3">
      <c r="A15" s="6" t="s">
        <v>7</v>
      </c>
      <c r="B15" s="7">
        <f>IF(B14-B10/2 &lt;=0,(-B14+B10/2),0)</f>
        <v>111.13293406141742</v>
      </c>
      <c r="C15" s="7" t="s">
        <v>27</v>
      </c>
      <c r="D15" s="7">
        <f>B15*B120/1000</f>
        <v>10.899807039809758</v>
      </c>
      <c r="E15" s="8" t="s">
        <v>43</v>
      </c>
      <c r="G15" t="s">
        <v>64</v>
      </c>
      <c r="H15" s="4">
        <v>10881.6945</v>
      </c>
      <c r="I15" s="4">
        <v>10899.73693932676</v>
      </c>
      <c r="J15" s="4">
        <v>10917.0705</v>
      </c>
      <c r="M15" s="16">
        <f t="shared" ref="M15:O16" si="12">H15/1000</f>
        <v>10.8816945</v>
      </c>
      <c r="N15" s="16">
        <f t="shared" si="12"/>
        <v>10.899736939326759</v>
      </c>
      <c r="O15" s="16">
        <f t="shared" si="12"/>
        <v>10.917070499999999</v>
      </c>
      <c r="Q15" s="19">
        <f>M15-$D15</f>
        <v>-1.8112539809758132E-2</v>
      </c>
      <c r="R15" s="19">
        <f>N15-$D15</f>
        <v>-7.0100482998824987E-5</v>
      </c>
      <c r="S15" s="19">
        <f>O15-$D15</f>
        <v>1.7263460190241275E-2</v>
      </c>
      <c r="V15" s="20">
        <f t="shared" ref="V15" si="13">ABS(Q15/M15)</f>
        <v>1.6644962611069565E-3</v>
      </c>
      <c r="W15" s="20">
        <f t="shared" ref="W15" si="14">ABS(R15/N15)</f>
        <v>6.4313921876315356E-6</v>
      </c>
      <c r="X15" s="20">
        <f t="shared" ref="X15" si="15">ABS(S15/O15)</f>
        <v>1.5813271692475812E-3</v>
      </c>
    </row>
    <row r="16" spans="1:24" ht="16.5" thickTop="1" thickBot="1" x14ac:dyDescent="0.3">
      <c r="A16" s="6" t="s">
        <v>8</v>
      </c>
      <c r="B16" s="7">
        <f>IF(B15=0,2*(B14-B10/2),0)</f>
        <v>0</v>
      </c>
      <c r="C16" s="7" t="s">
        <v>27</v>
      </c>
      <c r="D16" s="7">
        <f>(B16*B115)/1000</f>
        <v>0</v>
      </c>
      <c r="E16" s="8" t="s">
        <v>43</v>
      </c>
      <c r="G16" t="s">
        <v>66</v>
      </c>
      <c r="H16" s="4">
        <v>0</v>
      </c>
      <c r="I16" s="4">
        <v>0</v>
      </c>
      <c r="J16" s="4">
        <v>0</v>
      </c>
      <c r="M16" s="16">
        <f t="shared" si="12"/>
        <v>0</v>
      </c>
      <c r="N16" s="16">
        <f t="shared" si="12"/>
        <v>0</v>
      </c>
      <c r="O16" s="16">
        <f t="shared" si="12"/>
        <v>0</v>
      </c>
      <c r="Q16" s="19">
        <f>M16-$D16</f>
        <v>0</v>
      </c>
      <c r="R16" s="19">
        <f>N16-$D16</f>
        <v>0</v>
      </c>
      <c r="S16" s="19">
        <f>O16-$D16</f>
        <v>0</v>
      </c>
      <c r="V16" s="20">
        <v>0</v>
      </c>
      <c r="W16" s="20">
        <v>0</v>
      </c>
      <c r="X16" s="20">
        <v>0</v>
      </c>
    </row>
    <row r="17" spans="1:24" ht="15.75" thickTop="1" x14ac:dyDescent="0.25">
      <c r="A17" s="6"/>
      <c r="B17" s="7"/>
      <c r="C17" s="7"/>
      <c r="D17" s="7"/>
      <c r="E17" s="8"/>
      <c r="V17" s="18"/>
      <c r="W17" s="18"/>
      <c r="X17" s="18"/>
    </row>
    <row r="18" spans="1:24" ht="15.75" thickBot="1" x14ac:dyDescent="0.3">
      <c r="A18" s="6" t="s">
        <v>9</v>
      </c>
      <c r="B18" s="7">
        <f>(B20*(B69/2))/(1-B20)</f>
        <v>390.72727686790267</v>
      </c>
      <c r="C18" s="7" t="s">
        <v>27</v>
      </c>
      <c r="D18" s="7"/>
      <c r="E18" s="8"/>
      <c r="V18" s="18"/>
      <c r="W18" s="18"/>
      <c r="X18" s="18"/>
    </row>
    <row r="19" spans="1:24" ht="16.5" thickTop="1" thickBot="1" x14ac:dyDescent="0.3">
      <c r="A19" s="6" t="s">
        <v>10</v>
      </c>
      <c r="B19" s="30">
        <f>1-(B18/B11)</f>
        <v>0.9777480158072176</v>
      </c>
      <c r="C19" s="7"/>
      <c r="D19" s="7"/>
      <c r="E19" s="8"/>
      <c r="G19" t="s">
        <v>68</v>
      </c>
      <c r="H19" s="4">
        <v>97.808376043099997</v>
      </c>
      <c r="I19" s="4">
        <v>97.811808571195684</v>
      </c>
      <c r="J19" s="4">
        <v>97.8153816202</v>
      </c>
      <c r="M19" s="16">
        <f>H19/100</f>
        <v>0.97808376043099998</v>
      </c>
      <c r="N19" s="16">
        <f t="shared" ref="N19:O19" si="16">I19/100</f>
        <v>0.9781180857119568</v>
      </c>
      <c r="O19" s="16">
        <f t="shared" si="16"/>
        <v>0.97815381620200004</v>
      </c>
      <c r="Q19" s="19">
        <f>M19-$B19</f>
        <v>3.3574462378238579E-4</v>
      </c>
      <c r="R19" s="19">
        <f>N19-$B19</f>
        <v>3.7006990473920087E-4</v>
      </c>
      <c r="S19" s="19">
        <f>O19-$B19</f>
        <v>4.0580039478244068E-4</v>
      </c>
      <c r="V19" s="20">
        <f t="shared" ref="V19:X19" si="17">ABS(Q19/M19)</f>
        <v>3.432677622972059E-4</v>
      </c>
      <c r="W19" s="20">
        <f t="shared" si="17"/>
        <v>3.7834890300574784E-4</v>
      </c>
      <c r="X19" s="20">
        <f t="shared" si="17"/>
        <v>4.148635808201337E-4</v>
      </c>
    </row>
    <row r="20" spans="1:24" ht="15.75" thickTop="1" x14ac:dyDescent="0.25">
      <c r="A20" s="6" t="s">
        <v>11</v>
      </c>
      <c r="B20" s="7">
        <f>((B126*EXP((B3*B2*G115/60)/(B122*B123*B124)))^(-1))</f>
        <v>0.77855798957317834</v>
      </c>
      <c r="C20" s="7"/>
      <c r="D20" s="7"/>
      <c r="E20" s="8"/>
      <c r="G20" t="s">
        <v>65</v>
      </c>
      <c r="V20" s="18"/>
      <c r="W20" s="18"/>
      <c r="X20" s="18"/>
    </row>
    <row r="21" spans="1:24" x14ac:dyDescent="0.25">
      <c r="A21" s="6"/>
      <c r="B21" s="7"/>
      <c r="C21" s="7"/>
      <c r="D21" s="7"/>
      <c r="E21" s="8"/>
      <c r="V21" s="18"/>
      <c r="W21" s="18"/>
      <c r="X21" s="18"/>
    </row>
    <row r="22" spans="1:24" x14ac:dyDescent="0.25">
      <c r="A22" s="6" t="s">
        <v>37</v>
      </c>
      <c r="B22" s="7"/>
      <c r="C22" s="7"/>
      <c r="D22" s="7"/>
      <c r="E22" s="8"/>
      <c r="V22" s="18"/>
      <c r="W22" s="18"/>
      <c r="X22" s="18"/>
    </row>
    <row r="23" spans="1:24" x14ac:dyDescent="0.25">
      <c r="A23" s="6" t="s">
        <v>0</v>
      </c>
      <c r="B23" s="24">
        <f>B$2</f>
        <v>5000</v>
      </c>
      <c r="C23" s="7" t="s">
        <v>26</v>
      </c>
      <c r="D23" s="7"/>
      <c r="E23" s="8"/>
      <c r="V23" s="18"/>
      <c r="W23" s="18"/>
      <c r="X23" s="18"/>
    </row>
    <row r="24" spans="1:24" x14ac:dyDescent="0.25">
      <c r="A24" s="6"/>
      <c r="B24" s="7" t="s">
        <v>41</v>
      </c>
      <c r="C24" s="7"/>
      <c r="D24" s="7" t="s">
        <v>42</v>
      </c>
      <c r="E24" s="8"/>
      <c r="V24" s="18"/>
      <c r="W24" s="18"/>
      <c r="X24" s="18"/>
    </row>
    <row r="25" spans="1:24" x14ac:dyDescent="0.25">
      <c r="A25" s="6" t="s">
        <v>3</v>
      </c>
      <c r="B25" s="31">
        <f>B$10</f>
        <v>222.26586812283483</v>
      </c>
      <c r="C25" s="7" t="s">
        <v>27</v>
      </c>
      <c r="D25" s="32">
        <f>B25*B$115/1000</f>
        <v>3.7854099999999997</v>
      </c>
      <c r="E25" s="8" t="s">
        <v>43</v>
      </c>
      <c r="G25" t="s">
        <v>70</v>
      </c>
      <c r="V25" s="18"/>
      <c r="W25" s="18"/>
      <c r="X25" s="18"/>
    </row>
    <row r="26" spans="1:24" x14ac:dyDescent="0.25">
      <c r="A26" s="6" t="s">
        <v>38</v>
      </c>
      <c r="B26" s="33">
        <v>0</v>
      </c>
      <c r="C26" s="7" t="s">
        <v>27</v>
      </c>
      <c r="D26" s="33">
        <f>B26*B$116/1000</f>
        <v>0</v>
      </c>
      <c r="E26" s="8" t="s">
        <v>43</v>
      </c>
      <c r="V26" s="18"/>
      <c r="W26" s="18"/>
      <c r="X26" s="18"/>
    </row>
    <row r="27" spans="1:24" x14ac:dyDescent="0.25">
      <c r="A27" s="6" t="s">
        <v>5</v>
      </c>
      <c r="B27" s="33">
        <v>0</v>
      </c>
      <c r="C27" s="7" t="s">
        <v>27</v>
      </c>
      <c r="D27" s="33">
        <f>B27*B$117/1000</f>
        <v>0</v>
      </c>
      <c r="E27" s="8" t="s">
        <v>43</v>
      </c>
      <c r="V27" s="18"/>
      <c r="W27" s="18"/>
      <c r="X27" s="18"/>
    </row>
    <row r="28" spans="1:24" x14ac:dyDescent="0.25">
      <c r="A28" s="6" t="s">
        <v>39</v>
      </c>
      <c r="B28" s="33">
        <v>0</v>
      </c>
      <c r="C28" s="7" t="s">
        <v>27</v>
      </c>
      <c r="D28" s="33">
        <f>B28*B$118/1000</f>
        <v>0</v>
      </c>
      <c r="E28" s="8" t="s">
        <v>43</v>
      </c>
      <c r="V28" s="18"/>
      <c r="W28" s="18"/>
      <c r="X28" s="18"/>
    </row>
    <row r="29" spans="1:24" x14ac:dyDescent="0.25">
      <c r="A29" s="6" t="s">
        <v>2</v>
      </c>
      <c r="B29" s="31">
        <f>B$9</f>
        <v>0</v>
      </c>
      <c r="C29" s="7" t="s">
        <v>27</v>
      </c>
      <c r="D29" s="32">
        <f>B29*B$119/1000</f>
        <v>0</v>
      </c>
      <c r="E29" s="8" t="s">
        <v>43</v>
      </c>
      <c r="G29" t="s">
        <v>69</v>
      </c>
      <c r="V29" s="18"/>
      <c r="W29" s="18"/>
      <c r="X29" s="18"/>
    </row>
    <row r="30" spans="1:24" x14ac:dyDescent="0.25">
      <c r="A30" s="6" t="s">
        <v>47</v>
      </c>
      <c r="B30" s="24">
        <v>0</v>
      </c>
      <c r="C30" s="7" t="s">
        <v>27</v>
      </c>
      <c r="D30" s="33">
        <f>B30*B$120/1000</f>
        <v>0</v>
      </c>
      <c r="E30" s="8" t="s">
        <v>43</v>
      </c>
      <c r="V30" s="18"/>
      <c r="W30" s="18"/>
      <c r="X30" s="18"/>
    </row>
    <row r="31" spans="1:24" x14ac:dyDescent="0.25">
      <c r="A31" s="6" t="s">
        <v>4</v>
      </c>
      <c r="B31" s="7">
        <f>B$11</f>
        <v>17559.210607143861</v>
      </c>
      <c r="C31" s="7" t="s">
        <v>27</v>
      </c>
      <c r="D31" s="34">
        <f>B31*B$121/1000</f>
        <v>316.33409566666671</v>
      </c>
      <c r="E31" s="8" t="s">
        <v>43</v>
      </c>
      <c r="G31" t="s">
        <v>71</v>
      </c>
      <c r="V31" s="18"/>
      <c r="W31" s="18"/>
      <c r="X31" s="18"/>
    </row>
    <row r="32" spans="1:24" x14ac:dyDescent="0.25">
      <c r="A32" s="6"/>
      <c r="B32" s="7"/>
      <c r="C32" s="7"/>
      <c r="D32" s="7"/>
      <c r="E32" s="8"/>
      <c r="V32" s="18"/>
      <c r="W32" s="18"/>
      <c r="X32" s="18"/>
    </row>
    <row r="33" spans="1:24" x14ac:dyDescent="0.25">
      <c r="A33" s="6" t="s">
        <v>40</v>
      </c>
      <c r="B33" s="7"/>
      <c r="C33" s="7"/>
      <c r="D33" s="7"/>
      <c r="E33" s="8"/>
      <c r="V33" s="18"/>
      <c r="W33" s="18"/>
      <c r="X33" s="18"/>
    </row>
    <row r="34" spans="1:24" x14ac:dyDescent="0.25">
      <c r="A34" s="6" t="s">
        <v>0</v>
      </c>
      <c r="B34" s="7">
        <v>0.1</v>
      </c>
      <c r="C34" s="7" t="s">
        <v>26</v>
      </c>
      <c r="D34" s="7"/>
      <c r="E34" s="8"/>
      <c r="G34" t="s">
        <v>72</v>
      </c>
      <c r="V34" s="18"/>
      <c r="W34" s="18"/>
      <c r="X34" s="18"/>
    </row>
    <row r="35" spans="1:24" x14ac:dyDescent="0.25">
      <c r="A35" s="6"/>
      <c r="B35" s="7" t="s">
        <v>41</v>
      </c>
      <c r="C35" s="7"/>
      <c r="D35" s="7" t="s">
        <v>42</v>
      </c>
      <c r="E35" s="8"/>
      <c r="V35" s="18"/>
      <c r="W35" s="18"/>
      <c r="X35" s="18"/>
    </row>
    <row r="36" spans="1:24" x14ac:dyDescent="0.25">
      <c r="A36" s="6" t="s">
        <v>3</v>
      </c>
      <c r="B36" s="35">
        <f>B25/B$23*B$34*60</f>
        <v>0.2667190417474018</v>
      </c>
      <c r="C36" s="7" t="s">
        <v>44</v>
      </c>
      <c r="D36" s="32">
        <f>B36*B$115</f>
        <v>4.5424919999999993</v>
      </c>
      <c r="E36" s="8" t="s">
        <v>45</v>
      </c>
      <c r="V36" s="18"/>
      <c r="W36" s="18"/>
      <c r="X36" s="18"/>
    </row>
    <row r="37" spans="1:24" x14ac:dyDescent="0.25">
      <c r="A37" s="6" t="s">
        <v>38</v>
      </c>
      <c r="B37" s="24">
        <f>B26/B$23*B$34*60</f>
        <v>0</v>
      </c>
      <c r="C37" s="7" t="s">
        <v>44</v>
      </c>
      <c r="D37" s="33">
        <f>B37*B$116</f>
        <v>0</v>
      </c>
      <c r="E37" s="8" t="s">
        <v>45</v>
      </c>
      <c r="V37" s="18"/>
      <c r="W37" s="18"/>
      <c r="X37" s="18"/>
    </row>
    <row r="38" spans="1:24" x14ac:dyDescent="0.25">
      <c r="A38" s="6" t="s">
        <v>5</v>
      </c>
      <c r="B38" s="24">
        <f>B27/B$23*B$34*60</f>
        <v>0</v>
      </c>
      <c r="C38" s="7" t="s">
        <v>44</v>
      </c>
      <c r="D38" s="33">
        <f>B38*B$117</f>
        <v>0</v>
      </c>
      <c r="E38" s="8" t="s">
        <v>45</v>
      </c>
      <c r="V38" s="18"/>
      <c r="W38" s="18"/>
      <c r="X38" s="18"/>
    </row>
    <row r="39" spans="1:24" x14ac:dyDescent="0.25">
      <c r="A39" s="6" t="s">
        <v>39</v>
      </c>
      <c r="B39" s="24">
        <f>B28/B$23*B$34*60</f>
        <v>0</v>
      </c>
      <c r="C39" s="7" t="s">
        <v>44</v>
      </c>
      <c r="D39" s="33">
        <f>B39*B$118</f>
        <v>0</v>
      </c>
      <c r="E39" s="8" t="s">
        <v>45</v>
      </c>
      <c r="V39" s="18"/>
      <c r="W39" s="18"/>
      <c r="X39" s="18"/>
    </row>
    <row r="40" spans="1:24" x14ac:dyDescent="0.25">
      <c r="A40" s="6" t="s">
        <v>2</v>
      </c>
      <c r="B40" s="35">
        <f>B29/B$23*B$34*60</f>
        <v>0</v>
      </c>
      <c r="C40" s="7" t="s">
        <v>44</v>
      </c>
      <c r="D40" s="32">
        <f>B40*B$119</f>
        <v>0</v>
      </c>
      <c r="E40" s="8" t="s">
        <v>45</v>
      </c>
      <c r="V40" s="18"/>
      <c r="W40" s="18"/>
      <c r="X40" s="18"/>
    </row>
    <row r="41" spans="1:24" x14ac:dyDescent="0.25">
      <c r="A41" s="6" t="s">
        <v>47</v>
      </c>
      <c r="B41" s="24">
        <v>0</v>
      </c>
      <c r="C41" s="7" t="s">
        <v>27</v>
      </c>
      <c r="D41" s="33">
        <f>B41*B$120/1000</f>
        <v>0</v>
      </c>
      <c r="E41" s="8" t="s">
        <v>43</v>
      </c>
      <c r="V41" s="18"/>
      <c r="W41" s="18"/>
      <c r="X41" s="18"/>
    </row>
    <row r="42" spans="1:24" x14ac:dyDescent="0.25">
      <c r="A42" s="6" t="s">
        <v>4</v>
      </c>
      <c r="B42" s="31">
        <f>B31/B$23*B$34*60</f>
        <v>21.071052728572631</v>
      </c>
      <c r="C42" s="7" t="s">
        <v>44</v>
      </c>
      <c r="D42" s="34">
        <f>B42*B$121</f>
        <v>379.60091479999994</v>
      </c>
      <c r="E42" s="8" t="s">
        <v>45</v>
      </c>
      <c r="V42" s="18"/>
      <c r="W42" s="18"/>
      <c r="X42" s="18"/>
    </row>
    <row r="43" spans="1:24" x14ac:dyDescent="0.25">
      <c r="A43" s="6"/>
      <c r="B43" s="7"/>
      <c r="C43" s="7"/>
      <c r="D43" s="7"/>
      <c r="E43" s="8"/>
      <c r="V43" s="18"/>
      <c r="W43" s="18"/>
      <c r="X43" s="18"/>
    </row>
    <row r="44" spans="1:24" x14ac:dyDescent="0.25">
      <c r="A44" s="6" t="s">
        <v>46</v>
      </c>
      <c r="B44" s="7"/>
      <c r="C44" s="7"/>
      <c r="D44" s="7"/>
      <c r="E44" s="8"/>
      <c r="G44" t="s">
        <v>72</v>
      </c>
      <c r="V44" s="18"/>
      <c r="W44" s="18"/>
      <c r="X44" s="18"/>
    </row>
    <row r="45" spans="1:24" x14ac:dyDescent="0.25">
      <c r="A45" s="6" t="s">
        <v>0</v>
      </c>
      <c r="B45" s="24">
        <v>0</v>
      </c>
      <c r="C45" s="7" t="s">
        <v>26</v>
      </c>
      <c r="D45" s="7"/>
      <c r="E45" s="8"/>
      <c r="V45" s="18"/>
      <c r="W45" s="18"/>
      <c r="X45" s="18"/>
    </row>
    <row r="46" spans="1:24" x14ac:dyDescent="0.25">
      <c r="A46" s="6"/>
      <c r="B46" s="7" t="s">
        <v>41</v>
      </c>
      <c r="C46" s="7"/>
      <c r="D46" s="7" t="s">
        <v>42</v>
      </c>
      <c r="E46" s="8"/>
      <c r="V46" s="18"/>
      <c r="W46" s="18"/>
      <c r="X46" s="18"/>
    </row>
    <row r="47" spans="1:24" x14ac:dyDescent="0.25">
      <c r="A47" s="6" t="s">
        <v>3</v>
      </c>
      <c r="B47" s="24">
        <v>0</v>
      </c>
      <c r="C47" s="7" t="s">
        <v>27</v>
      </c>
      <c r="D47" s="33">
        <f>B47*B$115/1000</f>
        <v>0</v>
      </c>
      <c r="E47" s="8" t="s">
        <v>43</v>
      </c>
      <c r="V47" s="18"/>
      <c r="W47" s="18"/>
      <c r="X47" s="18"/>
    </row>
    <row r="48" spans="1:24" x14ac:dyDescent="0.25">
      <c r="A48" s="6" t="s">
        <v>38</v>
      </c>
      <c r="B48" s="33">
        <v>0</v>
      </c>
      <c r="C48" s="7" t="s">
        <v>27</v>
      </c>
      <c r="D48" s="33">
        <f>B48*B$116/1000</f>
        <v>0</v>
      </c>
      <c r="E48" s="8" t="s">
        <v>43</v>
      </c>
      <c r="V48" s="18"/>
      <c r="W48" s="18"/>
      <c r="X48" s="18"/>
    </row>
    <row r="49" spans="1:24" x14ac:dyDescent="0.25">
      <c r="A49" s="6" t="s">
        <v>5</v>
      </c>
      <c r="B49" s="34">
        <f>B13</f>
        <v>0</v>
      </c>
      <c r="C49" s="7" t="s">
        <v>27</v>
      </c>
      <c r="D49" s="34">
        <f>B49*B$117/1000</f>
        <v>0</v>
      </c>
      <c r="E49" s="8" t="s">
        <v>43</v>
      </c>
      <c r="V49" s="18"/>
      <c r="W49" s="18"/>
      <c r="X49" s="18"/>
    </row>
    <row r="50" spans="1:24" x14ac:dyDescent="0.25">
      <c r="A50" s="6" t="s">
        <v>39</v>
      </c>
      <c r="B50" s="33">
        <v>0</v>
      </c>
      <c r="C50" s="7" t="s">
        <v>27</v>
      </c>
      <c r="D50" s="33">
        <f>B50*B$118/1000</f>
        <v>0</v>
      </c>
      <c r="E50" s="8" t="s">
        <v>43</v>
      </c>
      <c r="V50" s="18"/>
      <c r="W50" s="18"/>
      <c r="X50" s="18"/>
    </row>
    <row r="51" spans="1:24" x14ac:dyDescent="0.25">
      <c r="A51" s="6" t="s">
        <v>2</v>
      </c>
      <c r="B51" s="24">
        <v>0</v>
      </c>
      <c r="C51" s="7" t="s">
        <v>27</v>
      </c>
      <c r="D51" s="33">
        <f>B51*B$119/1000</f>
        <v>0</v>
      </c>
      <c r="E51" s="8" t="s">
        <v>43</v>
      </c>
      <c r="V51" s="18"/>
      <c r="W51" s="18"/>
      <c r="X51" s="18"/>
    </row>
    <row r="52" spans="1:24" x14ac:dyDescent="0.25">
      <c r="A52" s="6" t="s">
        <v>47</v>
      </c>
      <c r="B52" s="24">
        <f>B$15</f>
        <v>111.13293406141742</v>
      </c>
      <c r="C52" s="7" t="s">
        <v>27</v>
      </c>
      <c r="D52" s="33">
        <f>B52*B$120/1000</f>
        <v>10.899807039809758</v>
      </c>
      <c r="E52" s="8" t="s">
        <v>43</v>
      </c>
      <c r="V52" s="18"/>
      <c r="W52" s="18"/>
      <c r="X52" s="18"/>
    </row>
    <row r="53" spans="1:24" x14ac:dyDescent="0.25">
      <c r="A53" s="6" t="s">
        <v>4</v>
      </c>
      <c r="B53" s="7">
        <f>B32</f>
        <v>0</v>
      </c>
      <c r="C53" s="7" t="s">
        <v>27</v>
      </c>
      <c r="D53" s="34">
        <f>B53*B$121/1000</f>
        <v>0</v>
      </c>
      <c r="E53" s="8" t="s">
        <v>43</v>
      </c>
      <c r="V53" s="18"/>
      <c r="W53" s="18"/>
      <c r="X53" s="18"/>
    </row>
    <row r="54" spans="1:24" x14ac:dyDescent="0.25">
      <c r="A54" s="6"/>
      <c r="B54" s="7"/>
      <c r="C54" s="7"/>
      <c r="D54" s="7"/>
      <c r="E54" s="8"/>
      <c r="V54" s="18"/>
      <c r="W54" s="18"/>
      <c r="X54" s="18"/>
    </row>
    <row r="55" spans="1:24" x14ac:dyDescent="0.25">
      <c r="A55" s="6" t="s">
        <v>48</v>
      </c>
      <c r="B55" s="7"/>
      <c r="C55" s="7"/>
      <c r="D55" s="7"/>
      <c r="E55" s="8"/>
      <c r="V55" s="18"/>
      <c r="W55" s="18"/>
      <c r="X55" s="18"/>
    </row>
    <row r="56" spans="1:24" x14ac:dyDescent="0.25">
      <c r="A56" s="6" t="s">
        <v>0</v>
      </c>
      <c r="B56" s="24">
        <f>B$2</f>
        <v>5000</v>
      </c>
      <c r="C56" s="7" t="s">
        <v>26</v>
      </c>
      <c r="D56" s="7"/>
      <c r="E56" s="8"/>
      <c r="V56" s="18"/>
      <c r="W56" s="18"/>
      <c r="X56" s="18"/>
    </row>
    <row r="57" spans="1:24" x14ac:dyDescent="0.25">
      <c r="A57" s="6"/>
      <c r="B57" s="7" t="s">
        <v>41</v>
      </c>
      <c r="C57" s="7"/>
      <c r="D57" s="7" t="s">
        <v>42</v>
      </c>
      <c r="E57" s="8"/>
      <c r="V57" s="18"/>
      <c r="W57" s="18"/>
      <c r="X57" s="18"/>
    </row>
    <row r="58" spans="1:24" x14ac:dyDescent="0.25">
      <c r="A58" s="6" t="s">
        <v>3</v>
      </c>
      <c r="B58" s="31">
        <f>B$10</f>
        <v>222.26586812283483</v>
      </c>
      <c r="C58" s="7" t="s">
        <v>27</v>
      </c>
      <c r="D58" s="32">
        <f>B58*B$115/1000</f>
        <v>3.7854099999999997</v>
      </c>
      <c r="E58" s="8" t="s">
        <v>43</v>
      </c>
      <c r="G58" t="s">
        <v>70</v>
      </c>
      <c r="V58" s="18"/>
      <c r="W58" s="18"/>
      <c r="X58" s="18"/>
    </row>
    <row r="59" spans="1:24" x14ac:dyDescent="0.25">
      <c r="A59" s="6" t="s">
        <v>38</v>
      </c>
      <c r="B59" s="33">
        <v>0</v>
      </c>
      <c r="C59" s="7" t="s">
        <v>27</v>
      </c>
      <c r="D59" s="33">
        <f>B59*B$116/1000</f>
        <v>0</v>
      </c>
      <c r="E59" s="8" t="s">
        <v>43</v>
      </c>
      <c r="V59" s="18"/>
      <c r="W59" s="18"/>
      <c r="X59" s="18"/>
    </row>
    <row r="60" spans="1:24" x14ac:dyDescent="0.25">
      <c r="A60" s="6" t="s">
        <v>5</v>
      </c>
      <c r="B60" s="34">
        <f>B$49</f>
        <v>0</v>
      </c>
      <c r="C60" s="7" t="s">
        <v>27</v>
      </c>
      <c r="D60" s="34">
        <f>B60*B$117/1000</f>
        <v>0</v>
      </c>
      <c r="E60" s="8" t="s">
        <v>43</v>
      </c>
      <c r="G60" t="s">
        <v>69</v>
      </c>
      <c r="V60" s="18"/>
      <c r="W60" s="18"/>
      <c r="X60" s="18"/>
    </row>
    <row r="61" spans="1:24" x14ac:dyDescent="0.25">
      <c r="A61" s="6" t="s">
        <v>39</v>
      </c>
      <c r="B61" s="33">
        <v>0</v>
      </c>
      <c r="C61" s="7" t="s">
        <v>27</v>
      </c>
      <c r="D61" s="33">
        <f>B61*B$118/1000</f>
        <v>0</v>
      </c>
      <c r="E61" s="8" t="s">
        <v>43</v>
      </c>
      <c r="V61" s="18"/>
      <c r="W61" s="18"/>
      <c r="X61" s="18"/>
    </row>
    <row r="62" spans="1:24" x14ac:dyDescent="0.25">
      <c r="A62" s="6" t="s">
        <v>2</v>
      </c>
      <c r="B62" s="31">
        <f>B$9</f>
        <v>0</v>
      </c>
      <c r="C62" s="7" t="s">
        <v>27</v>
      </c>
      <c r="D62" s="32">
        <f>B62*B$119/1000</f>
        <v>0</v>
      </c>
      <c r="E62" s="8" t="s">
        <v>43</v>
      </c>
      <c r="G62" t="s">
        <v>69</v>
      </c>
      <c r="V62" s="18"/>
      <c r="W62" s="18"/>
      <c r="X62" s="18"/>
    </row>
    <row r="63" spans="1:24" x14ac:dyDescent="0.25">
      <c r="A63" s="6" t="s">
        <v>47</v>
      </c>
      <c r="B63" s="24">
        <f>B52</f>
        <v>111.13293406141742</v>
      </c>
      <c r="C63" s="7" t="s">
        <v>27</v>
      </c>
      <c r="D63" s="33">
        <f>B63*B$120/1000</f>
        <v>10.899807039809758</v>
      </c>
      <c r="E63" s="8" t="s">
        <v>43</v>
      </c>
      <c r="V63" s="18"/>
      <c r="W63" s="18"/>
      <c r="X63" s="18"/>
    </row>
    <row r="64" spans="1:24" x14ac:dyDescent="0.25">
      <c r="A64" s="6" t="s">
        <v>4</v>
      </c>
      <c r="B64" s="36">
        <f>B$11</f>
        <v>17559.210607143861</v>
      </c>
      <c r="C64" s="7" t="s">
        <v>27</v>
      </c>
      <c r="D64" s="34">
        <f>B64*B$121/1000</f>
        <v>316.33409566666671</v>
      </c>
      <c r="E64" s="8" t="s">
        <v>43</v>
      </c>
      <c r="V64" s="18"/>
      <c r="W64" s="18"/>
      <c r="X64" s="18"/>
    </row>
    <row r="65" spans="1:24" x14ac:dyDescent="0.25">
      <c r="A65" s="6"/>
      <c r="B65" s="7"/>
      <c r="C65" s="7"/>
      <c r="D65" s="7"/>
      <c r="E65" s="8"/>
      <c r="V65" s="18"/>
      <c r="W65" s="18"/>
      <c r="X65" s="18"/>
    </row>
    <row r="66" spans="1:24" x14ac:dyDescent="0.25">
      <c r="A66" s="6" t="s">
        <v>49</v>
      </c>
      <c r="B66" s="7"/>
      <c r="C66" s="7"/>
      <c r="D66" s="7"/>
      <c r="E66" s="8"/>
      <c r="V66" s="18"/>
      <c r="W66" s="18"/>
      <c r="X66" s="18"/>
    </row>
    <row r="67" spans="1:24" x14ac:dyDescent="0.25">
      <c r="A67" s="6" t="s">
        <v>0</v>
      </c>
      <c r="B67" s="24">
        <f>B$2</f>
        <v>5000</v>
      </c>
      <c r="C67" s="7" t="s">
        <v>26</v>
      </c>
      <c r="D67" s="7"/>
      <c r="E67" s="8"/>
      <c r="V67" s="18"/>
      <c r="W67" s="18"/>
      <c r="X67" s="18"/>
    </row>
    <row r="68" spans="1:24" ht="15.75" thickBot="1" x14ac:dyDescent="0.3">
      <c r="A68" s="6"/>
      <c r="B68" s="7" t="s">
        <v>41</v>
      </c>
      <c r="C68" s="7"/>
      <c r="D68" s="7" t="s">
        <v>42</v>
      </c>
      <c r="E68" s="8"/>
      <c r="V68" s="18"/>
      <c r="W68" s="18"/>
      <c r="X68" s="18"/>
    </row>
    <row r="69" spans="1:24" ht="16.5" thickTop="1" thickBot="1" x14ac:dyDescent="0.3">
      <c r="A69" s="6" t="s">
        <v>3</v>
      </c>
      <c r="B69" s="37">
        <f>B10+B16</f>
        <v>222.26586812283483</v>
      </c>
      <c r="C69" s="7" t="s">
        <v>27</v>
      </c>
      <c r="D69" s="34">
        <f>(B69*B$115)/1000</f>
        <v>3.7854099999999997</v>
      </c>
      <c r="E69" s="8" t="s">
        <v>43</v>
      </c>
      <c r="G69" t="s">
        <v>62</v>
      </c>
      <c r="H69" s="4">
        <v>1.1980090000000001E-2</v>
      </c>
      <c r="I69" s="4">
        <v>1.1999954479207896E-2</v>
      </c>
      <c r="J69" s="4">
        <v>1.201904E-2</v>
      </c>
      <c r="M69" s="16">
        <f>(((H69/$B$115)*1000*$H$2)  * $B$115 )/1000</f>
        <v>3.7791193905</v>
      </c>
      <c r="N69" s="16">
        <f>(((I69/$B$115)*1000*$H$2)  * $B$115 )/1000</f>
        <v>3.7853856404661306</v>
      </c>
      <c r="O69" s="16">
        <f>(((J69/$B$115)*1000*$H$2)  * $B$115 )/1000</f>
        <v>3.7914061680000004</v>
      </c>
      <c r="Q69" s="19">
        <f>M69-$D69</f>
        <v>-6.2906094999997109E-3</v>
      </c>
      <c r="R69" s="19">
        <f>N69-$D69</f>
        <v>-2.4359533869144911E-5</v>
      </c>
      <c r="S69" s="19">
        <f>O69-$D69</f>
        <v>5.9961680000006901E-3</v>
      </c>
      <c r="V69" s="20">
        <f t="shared" ref="V69:X69" si="18">ABS(Q69/M69)</f>
        <v>1.6645701947954139E-3</v>
      </c>
      <c r="W69" s="20">
        <f t="shared" si="18"/>
        <v>6.4351525003791394E-6</v>
      </c>
      <c r="X69" s="20">
        <f t="shared" si="18"/>
        <v>1.5815155998344858E-3</v>
      </c>
    </row>
    <row r="70" spans="1:24" ht="16.5" thickTop="1" thickBot="1" x14ac:dyDescent="0.3">
      <c r="A70" s="6" t="s">
        <v>38</v>
      </c>
      <c r="B70" s="37">
        <f>(B$58*G$117)</f>
        <v>111.13282292848335</v>
      </c>
      <c r="C70" s="7" t="s">
        <v>27</v>
      </c>
      <c r="D70" s="34">
        <f>B70*B$116/1000</f>
        <v>14.685091221769788</v>
      </c>
      <c r="E70" s="8" t="s">
        <v>43</v>
      </c>
    </row>
    <row r="71" spans="1:24" ht="16.5" thickTop="1" thickBot="1" x14ac:dyDescent="0.3">
      <c r="A71" s="6" t="s">
        <v>5</v>
      </c>
      <c r="B71" s="37">
        <f>B72</f>
        <v>0</v>
      </c>
      <c r="C71" s="7" t="s">
        <v>27</v>
      </c>
      <c r="D71" s="34">
        <f>(B71*B$117)/1000</f>
        <v>0</v>
      </c>
      <c r="E71" s="8" t="s">
        <v>43</v>
      </c>
      <c r="G71" t="s">
        <v>63</v>
      </c>
      <c r="H71" s="4">
        <v>0</v>
      </c>
      <c r="I71" s="4">
        <v>0</v>
      </c>
      <c r="J71" s="4">
        <v>0</v>
      </c>
      <c r="M71" s="16">
        <f>H71/1000</f>
        <v>0</v>
      </c>
      <c r="N71" s="16">
        <f t="shared" ref="N71:O71" si="19">I71/1000</f>
        <v>0</v>
      </c>
      <c r="O71" s="16">
        <f t="shared" si="19"/>
        <v>0</v>
      </c>
      <c r="Q71" s="19">
        <f>M71-$D71</f>
        <v>0</v>
      </c>
      <c r="R71" s="19">
        <f>N71-$D71</f>
        <v>0</v>
      </c>
      <c r="S71" s="19">
        <f>O71-$D71</f>
        <v>0</v>
      </c>
      <c r="V71" s="20">
        <v>0</v>
      </c>
      <c r="W71" s="20">
        <v>0</v>
      </c>
      <c r="X71" s="20">
        <v>0</v>
      </c>
    </row>
    <row r="72" spans="1:24" ht="16.5" thickTop="1" thickBot="1" x14ac:dyDescent="0.3">
      <c r="A72" s="6" t="s">
        <v>39</v>
      </c>
      <c r="B72" s="37">
        <f>(B$62*G$116)</f>
        <v>0</v>
      </c>
      <c r="C72" s="7" t="s">
        <v>27</v>
      </c>
      <c r="D72" s="34">
        <f>B72*B$118/1000</f>
        <v>0</v>
      </c>
      <c r="E72" s="8" t="s">
        <v>43</v>
      </c>
    </row>
    <row r="73" spans="1:24" ht="16.5" thickTop="1" thickBot="1" x14ac:dyDescent="0.3">
      <c r="A73" s="6" t="s">
        <v>2</v>
      </c>
      <c r="B73" s="37">
        <f>B9</f>
        <v>0</v>
      </c>
      <c r="C73" s="7" t="s">
        <v>27</v>
      </c>
      <c r="D73" s="34">
        <f>(B73*B$119)/1000</f>
        <v>0</v>
      </c>
      <c r="E73" s="8" t="s">
        <v>43</v>
      </c>
      <c r="G73" t="s">
        <v>61</v>
      </c>
      <c r="H73" s="4">
        <v>0</v>
      </c>
      <c r="I73" s="4">
        <v>0</v>
      </c>
      <c r="J73" s="4">
        <v>0</v>
      </c>
      <c r="M73" s="16">
        <f>(((H73/$B$119)*1000*$H$2)  * $B$119 )/1000</f>
        <v>0</v>
      </c>
      <c r="N73" s="16">
        <f>(((I73/$B$119)*1000*$H$2)  * $B$119 )/1000</f>
        <v>0</v>
      </c>
      <c r="O73" s="16">
        <f>(((J73/$B$119)*1000*$H$2)  * $B$119 )/1000</f>
        <v>0</v>
      </c>
      <c r="Q73" s="19">
        <f>M73-$D73</f>
        <v>0</v>
      </c>
      <c r="R73" s="19">
        <f>N73-$D73</f>
        <v>0</v>
      </c>
      <c r="S73" s="19">
        <f>O73-$D73</f>
        <v>0</v>
      </c>
      <c r="V73" s="20">
        <v>0</v>
      </c>
      <c r="W73" s="20">
        <v>0</v>
      </c>
      <c r="X73" s="20">
        <v>0</v>
      </c>
    </row>
    <row r="74" spans="1:24" ht="16.5" thickTop="1" thickBot="1" x14ac:dyDescent="0.3">
      <c r="A74" s="6" t="s">
        <v>47</v>
      </c>
      <c r="B74" s="37">
        <f>(B$14+B$15-B$60)</f>
        <v>111.13293406141742</v>
      </c>
      <c r="C74" s="7" t="s">
        <v>27</v>
      </c>
      <c r="D74" s="34">
        <f>B74*B$120/1000</f>
        <v>10.899807039809758</v>
      </c>
      <c r="E74" s="8" t="s">
        <v>43</v>
      </c>
      <c r="V74" s="18"/>
      <c r="W74" s="18"/>
      <c r="X74" s="18"/>
    </row>
    <row r="75" spans="1:24" ht="16.5" thickTop="1" thickBot="1" x14ac:dyDescent="0.3">
      <c r="A75" s="6" t="s">
        <v>4</v>
      </c>
      <c r="B75" s="36">
        <f>B$11</f>
        <v>17559.210607143861</v>
      </c>
      <c r="C75" s="7" t="s">
        <v>27</v>
      </c>
      <c r="D75" s="34">
        <f>B75*B$121/1000</f>
        <v>316.33409566666671</v>
      </c>
      <c r="E75" s="8" t="s">
        <v>43</v>
      </c>
      <c r="G75" t="s">
        <v>73</v>
      </c>
      <c r="H75" s="4">
        <f>1000000-(H73+H69)</f>
        <v>999999.98801990994</v>
      </c>
      <c r="I75" s="4">
        <f>1000000-(I73+I69)</f>
        <v>999999.98800004553</v>
      </c>
      <c r="J75" s="4">
        <f>1000000-(J73+J69)</f>
        <v>999999.98798096005</v>
      </c>
      <c r="M75" s="16">
        <f>(((H75/$B$121)/1000*$H$2)  * $B$121 )/1000</f>
        <v>315.44999622088062</v>
      </c>
      <c r="N75" s="16">
        <f>(((I75/$B$121)/1000*$H$2)  * $B$121 )/1000</f>
        <v>315.44999621461432</v>
      </c>
      <c r="O75" s="16">
        <f>(((J75/$B$121)/1000*$H$2)  * $B$121 )/1000</f>
        <v>315.44999620859392</v>
      </c>
      <c r="Q75" s="19">
        <f>M75-$D75</f>
        <v>-0.88409944578609156</v>
      </c>
      <c r="R75" s="19">
        <f>N75-$D75</f>
        <v>-0.88409945205239637</v>
      </c>
      <c r="S75" s="19">
        <f>O75-$D75</f>
        <v>-0.88409945807279655</v>
      </c>
      <c r="V75" s="20">
        <f t="shared" ref="V75:X75" si="20">ABS(Q75/M75)</f>
        <v>2.8026611392540264E-3</v>
      </c>
      <c r="W75" s="20">
        <f t="shared" si="20"/>
        <v>2.8026611591743535E-3</v>
      </c>
      <c r="X75" s="20">
        <f t="shared" si="20"/>
        <v>2.80266117831296E-3</v>
      </c>
    </row>
    <row r="76" spans="1:24" ht="15.75" thickTop="1" x14ac:dyDescent="0.25">
      <c r="A76" s="6"/>
      <c r="B76" s="7"/>
      <c r="C76" s="7"/>
      <c r="D76" s="7"/>
      <c r="E76" s="8"/>
      <c r="V76" s="18"/>
      <c r="W76" s="18"/>
      <c r="X76" s="18"/>
    </row>
    <row r="77" spans="1:24" x14ac:dyDescent="0.25">
      <c r="A77" s="6" t="s">
        <v>52</v>
      </c>
      <c r="B77" s="7"/>
      <c r="C77" s="7"/>
      <c r="D77" s="7"/>
      <c r="E77" s="8"/>
      <c r="V77" s="18"/>
      <c r="W77" s="18"/>
      <c r="X77" s="18"/>
    </row>
    <row r="78" spans="1:24" x14ac:dyDescent="0.25">
      <c r="A78" s="6" t="s">
        <v>0</v>
      </c>
      <c r="B78" s="24">
        <f>B$2</f>
        <v>5000</v>
      </c>
      <c r="C78" s="7" t="s">
        <v>26</v>
      </c>
      <c r="D78" s="7"/>
      <c r="E78" s="8"/>
      <c r="V78" s="18"/>
      <c r="W78" s="18"/>
      <c r="X78" s="18"/>
    </row>
    <row r="79" spans="1:24" ht="15.75" thickBot="1" x14ac:dyDescent="0.3">
      <c r="A79" s="6"/>
      <c r="B79" s="7" t="s">
        <v>41</v>
      </c>
      <c r="C79" s="7"/>
      <c r="D79" s="7" t="s">
        <v>42</v>
      </c>
      <c r="E79" s="8"/>
      <c r="V79" s="18"/>
      <c r="W79" s="18"/>
      <c r="X79" s="18"/>
    </row>
    <row r="80" spans="1:24" ht="16.5" thickTop="1" thickBot="1" x14ac:dyDescent="0.3">
      <c r="A80" s="6" t="s">
        <v>3</v>
      </c>
      <c r="B80" s="37">
        <f>(B69)*(1-$G$119)</f>
        <v>2.2226586812281034E-2</v>
      </c>
      <c r="C80" s="7" t="s">
        <v>27</v>
      </c>
      <c r="D80" s="38">
        <f>(B80*B$115)/1000</f>
        <v>3.7854099999995829E-4</v>
      </c>
      <c r="E80" s="8" t="s">
        <v>43</v>
      </c>
      <c r="G80" t="s">
        <v>96</v>
      </c>
      <c r="H80" s="4">
        <v>1.198009E-6</v>
      </c>
      <c r="I80" s="4">
        <v>1.1999954479207901E-6</v>
      </c>
      <c r="J80" s="4">
        <v>1.201904E-6</v>
      </c>
      <c r="M80" s="16">
        <f>(((H80/$B$115)*1000*$H$2)  * $B$115 )/1000</f>
        <v>3.7791193905000001E-4</v>
      </c>
      <c r="N80" s="16">
        <f>(((I80/$B$115)*1000*$H$2)  * $B$115 )/1000</f>
        <v>3.7853856404661328E-4</v>
      </c>
      <c r="O80" s="16">
        <f>(((J80/$B$115)*1000*$H$2)  * $B$115 )/1000</f>
        <v>3.7914061679999994E-4</v>
      </c>
      <c r="Q80" s="19">
        <f>M80-$D80</f>
        <v>-6.2906094995827987E-7</v>
      </c>
      <c r="R80" s="19">
        <f>N80-$D80</f>
        <v>-2.4359533450156283E-9</v>
      </c>
      <c r="S80" s="19">
        <f>O80-$D80</f>
        <v>5.9961680004165041E-7</v>
      </c>
      <c r="V80" s="20">
        <f t="shared" ref="V80:X80" si="21">ABS(Q80/M80)</f>
        <v>1.664570194685094E-3</v>
      </c>
      <c r="W80" s="20">
        <f t="shared" si="21"/>
        <v>6.4351523896932861E-6</v>
      </c>
      <c r="X80" s="20">
        <f t="shared" si="21"/>
        <v>1.5815155999441589E-3</v>
      </c>
    </row>
    <row r="81" spans="1:24" ht="15.75" thickTop="1" x14ac:dyDescent="0.25">
      <c r="A81" s="6" t="s">
        <v>38</v>
      </c>
      <c r="B81" s="37">
        <f>(B70)*(1-$G$119)</f>
        <v>1.1113282292847112E-2</v>
      </c>
      <c r="C81" s="7" t="s">
        <v>27</v>
      </c>
      <c r="D81" s="38">
        <f>B81*B$116/1000</f>
        <v>1.4685091221768173E-3</v>
      </c>
      <c r="E81" s="8" t="s">
        <v>43</v>
      </c>
      <c r="G81" t="s">
        <v>74</v>
      </c>
    </row>
    <row r="82" spans="1:24" x14ac:dyDescent="0.25">
      <c r="A82" s="6" t="s">
        <v>5</v>
      </c>
      <c r="B82" s="37">
        <f>(B71)*(1-$G$118)</f>
        <v>0</v>
      </c>
      <c r="C82" s="7" t="s">
        <v>27</v>
      </c>
      <c r="D82" s="38">
        <f>(B82*B$117)/1000</f>
        <v>0</v>
      </c>
      <c r="E82" s="8" t="s">
        <v>43</v>
      </c>
      <c r="G82" t="s">
        <v>75</v>
      </c>
      <c r="V82" s="18"/>
      <c r="W82" s="18"/>
      <c r="X82" s="18"/>
    </row>
    <row r="83" spans="1:24" ht="15.75" thickBot="1" x14ac:dyDescent="0.3">
      <c r="A83" s="6" t="s">
        <v>39</v>
      </c>
      <c r="B83" s="37">
        <f>(B72)*(1-$G$118)</f>
        <v>0</v>
      </c>
      <c r="C83" s="7" t="s">
        <v>27</v>
      </c>
      <c r="D83" s="38">
        <f>B83*B$118/1000</f>
        <v>0</v>
      </c>
      <c r="E83" s="8" t="s">
        <v>43</v>
      </c>
      <c r="G83" t="s">
        <v>76</v>
      </c>
      <c r="V83" s="18"/>
      <c r="W83" s="18"/>
      <c r="X83" s="18"/>
    </row>
    <row r="84" spans="1:24" ht="16.5" thickTop="1" thickBot="1" x14ac:dyDescent="0.3">
      <c r="A84" s="6" t="s">
        <v>2</v>
      </c>
      <c r="B84" s="37">
        <f>(B73)*(1-$G$118)</f>
        <v>0</v>
      </c>
      <c r="C84" s="7" t="s">
        <v>27</v>
      </c>
      <c r="D84" s="38">
        <f>(B84*B$119)/1000</f>
        <v>0</v>
      </c>
      <c r="E84" s="8" t="s">
        <v>43</v>
      </c>
      <c r="G84" t="s">
        <v>78</v>
      </c>
      <c r="H84" s="4">
        <v>0</v>
      </c>
      <c r="I84" s="4">
        <v>0</v>
      </c>
      <c r="J84" s="4">
        <v>0</v>
      </c>
      <c r="M84" s="16">
        <f>(((H84/$B$119)*1000*$H$2)  * $B$119 )/1000</f>
        <v>0</v>
      </c>
      <c r="N84" s="16">
        <f>(((I84/$B$119)*1000*$H$2)  * $B$119 )/1000</f>
        <v>0</v>
      </c>
      <c r="O84" s="16">
        <f>(((J84/$B$119)*1000*$H$2)  * $B$119 )/1000</f>
        <v>0</v>
      </c>
      <c r="Q84" s="19">
        <f>M84-$D84</f>
        <v>0</v>
      </c>
      <c r="R84" s="19">
        <f>N84-$D84</f>
        <v>0</v>
      </c>
      <c r="S84" s="19">
        <f>O84-$D84</f>
        <v>0</v>
      </c>
      <c r="V84" s="20">
        <v>0</v>
      </c>
      <c r="W84" s="20">
        <v>0</v>
      </c>
      <c r="X84" s="20">
        <v>0</v>
      </c>
    </row>
    <row r="85" spans="1:24" ht="16.5" thickTop="1" thickBot="1" x14ac:dyDescent="0.3">
      <c r="A85" s="6" t="s">
        <v>47</v>
      </c>
      <c r="B85" s="37">
        <f>(B74)*(1-$G$118)</f>
        <v>0.11113293406141751</v>
      </c>
      <c r="C85" s="7" t="s">
        <v>27</v>
      </c>
      <c r="D85" s="38">
        <f>B85*B$120/1000</f>
        <v>1.0899807039809768E-2</v>
      </c>
      <c r="E85" s="8" t="s">
        <v>43</v>
      </c>
      <c r="G85" t="s">
        <v>77</v>
      </c>
      <c r="V85" s="18"/>
      <c r="W85" s="18"/>
      <c r="X85" s="18"/>
    </row>
    <row r="86" spans="1:24" ht="16.5" thickTop="1" thickBot="1" x14ac:dyDescent="0.3">
      <c r="A86" s="6" t="s">
        <v>4</v>
      </c>
      <c r="B86" s="36">
        <f>B$11</f>
        <v>17559.210607143861</v>
      </c>
      <c r="C86" s="7" t="s">
        <v>27</v>
      </c>
      <c r="D86" s="34">
        <f>B86*B$121/1000</f>
        <v>316.33409566666671</v>
      </c>
      <c r="E86" s="8" t="s">
        <v>43</v>
      </c>
      <c r="G86" t="s">
        <v>73</v>
      </c>
      <c r="H86" s="4">
        <f>1000000-(H84+H81)</f>
        <v>1000000</v>
      </c>
      <c r="I86" s="4">
        <f>1000000-(I84+I81)</f>
        <v>1000000</v>
      </c>
      <c r="J86" s="4">
        <f t="shared" ref="J86" si="22">1000000-(J84+J81)</f>
        <v>1000000</v>
      </c>
      <c r="M86" s="16">
        <f>(((H86/$B$121)/1000*$H$2)  * $B$121 )/1000</f>
        <v>315.45</v>
      </c>
      <c r="N86" s="16">
        <f>(((I86/$B$121)/1000*$H$2)  * $B$121 )/1000</f>
        <v>315.45</v>
      </c>
      <c r="O86" s="16">
        <f>(((J86/$B$121)/1000*$H$2)  * $B$121 )/1000</f>
        <v>315.45</v>
      </c>
      <c r="Q86" s="19">
        <f>M86-$D86</f>
        <v>-0.8840956666667239</v>
      </c>
      <c r="R86" s="19">
        <f>N86-$D86</f>
        <v>-0.8840956666667239</v>
      </c>
      <c r="S86" s="19">
        <f>O86-$D86</f>
        <v>-0.8840956666667239</v>
      </c>
      <c r="V86" s="20">
        <f t="shared" ref="V86:X86" si="23">ABS(Q86/M86)</f>
        <v>2.8026491255879662E-3</v>
      </c>
      <c r="W86" s="20">
        <f t="shared" si="23"/>
        <v>2.8026491255879662E-3</v>
      </c>
      <c r="X86" s="20">
        <f t="shared" si="23"/>
        <v>2.8026491255879662E-3</v>
      </c>
    </row>
    <row r="87" spans="1:24" ht="15.75" thickTop="1" x14ac:dyDescent="0.25">
      <c r="A87" s="6"/>
      <c r="B87" s="7"/>
      <c r="C87" s="7"/>
      <c r="D87" s="7"/>
      <c r="E87" s="8"/>
      <c r="V87" s="18"/>
      <c r="W87" s="18"/>
      <c r="X87" s="18"/>
    </row>
    <row r="88" spans="1:24" x14ac:dyDescent="0.25">
      <c r="A88" s="6" t="s">
        <v>53</v>
      </c>
      <c r="B88" s="7"/>
      <c r="C88" s="7"/>
      <c r="D88" s="7"/>
      <c r="E88" s="8"/>
      <c r="V88" s="18"/>
      <c r="W88" s="18"/>
      <c r="X88" s="18"/>
    </row>
    <row r="89" spans="1:24" x14ac:dyDescent="0.25">
      <c r="A89" s="6" t="s">
        <v>0</v>
      </c>
      <c r="B89" s="24">
        <f>B$2</f>
        <v>5000</v>
      </c>
      <c r="C89" s="7" t="s">
        <v>26</v>
      </c>
      <c r="D89" s="7"/>
      <c r="E89" s="8"/>
      <c r="V89" s="18"/>
      <c r="W89" s="18"/>
      <c r="X89" s="18"/>
    </row>
    <row r="90" spans="1:24" ht="15.75" thickBot="1" x14ac:dyDescent="0.3">
      <c r="A90" s="6"/>
      <c r="B90" s="7" t="s">
        <v>41</v>
      </c>
      <c r="C90" s="7"/>
      <c r="D90" s="7" t="s">
        <v>42</v>
      </c>
      <c r="E90" s="8"/>
      <c r="V90" s="18"/>
      <c r="W90" s="18"/>
      <c r="X90" s="18"/>
    </row>
    <row r="91" spans="1:24" ht="16.5" thickTop="1" thickBot="1" x14ac:dyDescent="0.3">
      <c r="A91" s="6" t="s">
        <v>3</v>
      </c>
      <c r="B91" s="37">
        <f>(B80)*(1-$G$121)</f>
        <v>2.2226586812278585E-6</v>
      </c>
      <c r="C91" s="7" t="s">
        <v>27</v>
      </c>
      <c r="D91" s="39">
        <f>(B91*B$115)/1000</f>
        <v>3.785409999999165E-8</v>
      </c>
      <c r="E91" s="8" t="s">
        <v>43</v>
      </c>
      <c r="G91" t="s">
        <v>84</v>
      </c>
      <c r="H91" s="4">
        <v>1.1979999999999999E-10</v>
      </c>
      <c r="I91" s="4">
        <v>1.199996198019782E-10</v>
      </c>
      <c r="J91" s="4">
        <v>1.2019E-10</v>
      </c>
      <c r="M91" s="16">
        <f>(((H91/$B$115)*1000*$H$2)  * $B$115 )/1000</f>
        <v>3.7790909999999995E-8</v>
      </c>
      <c r="N91" s="16">
        <f>(((I91/$B$115)*1000*$H$2)  * $B$115 )/1000</f>
        <v>3.7853880066534025E-8</v>
      </c>
      <c r="O91" s="16">
        <f>(((J91/$B$115)*1000*$H$2)  * $B$115 )/1000</f>
        <v>3.7913935500000002E-8</v>
      </c>
      <c r="Q91" s="19">
        <f>M91-$D91</f>
        <v>-6.3189999991655057E-11</v>
      </c>
      <c r="R91" s="19">
        <f>N91-$D91</f>
        <v>-2.1993345762501453E-13</v>
      </c>
      <c r="S91" s="19">
        <f>O91-$D91</f>
        <v>5.9835500008351924E-11</v>
      </c>
      <c r="V91" s="20">
        <f t="shared" ref="V91:X91" si="24">ABS(Q91/M91)</f>
        <v>1.6720952205611101E-3</v>
      </c>
      <c r="W91" s="20">
        <f t="shared" si="24"/>
        <v>5.8100637831167534E-6</v>
      </c>
      <c r="X91" s="20">
        <f t="shared" si="24"/>
        <v>1.5781927995407367E-3</v>
      </c>
    </row>
    <row r="92" spans="1:24" ht="15.75" thickTop="1" x14ac:dyDescent="0.25">
      <c r="A92" s="6" t="s">
        <v>38</v>
      </c>
      <c r="B92" s="37">
        <f>(B81)*(1-$G$121)</f>
        <v>1.1113282292845887E-6</v>
      </c>
      <c r="C92" s="7" t="s">
        <v>27</v>
      </c>
      <c r="D92" s="39">
        <f>B92*B$116/1000</f>
        <v>1.4685091221766554E-7</v>
      </c>
      <c r="E92" s="8" t="s">
        <v>43</v>
      </c>
      <c r="G92" t="s">
        <v>79</v>
      </c>
      <c r="V92" s="18"/>
      <c r="W92" s="18"/>
      <c r="X92" s="18"/>
    </row>
    <row r="93" spans="1:24" x14ac:dyDescent="0.25">
      <c r="A93" s="6" t="s">
        <v>5</v>
      </c>
      <c r="B93" s="37">
        <f>(B82)*(1-$G$120)</f>
        <v>0</v>
      </c>
      <c r="C93" s="7" t="s">
        <v>27</v>
      </c>
      <c r="D93" s="39">
        <f>(B93*B$117)/1000</f>
        <v>0</v>
      </c>
      <c r="E93" s="8" t="s">
        <v>43</v>
      </c>
      <c r="G93" t="s">
        <v>80</v>
      </c>
      <c r="V93" s="18"/>
      <c r="W93" s="18"/>
      <c r="X93" s="18"/>
    </row>
    <row r="94" spans="1:24" ht="15.75" thickBot="1" x14ac:dyDescent="0.3">
      <c r="A94" s="6" t="s">
        <v>39</v>
      </c>
      <c r="B94" s="37">
        <f>(B83)*(1-$G$120)</f>
        <v>0</v>
      </c>
      <c r="C94" s="7" t="s">
        <v>27</v>
      </c>
      <c r="D94" s="39">
        <f>B94*B$118/1000</f>
        <v>0</v>
      </c>
      <c r="E94" s="8" t="s">
        <v>43</v>
      </c>
      <c r="G94" t="s">
        <v>81</v>
      </c>
      <c r="V94" s="18"/>
      <c r="W94" s="18"/>
      <c r="X94" s="18"/>
    </row>
    <row r="95" spans="1:24" ht="16.5" thickTop="1" thickBot="1" x14ac:dyDescent="0.3">
      <c r="A95" s="6" t="s">
        <v>2</v>
      </c>
      <c r="B95" s="37">
        <f>(B84)*(1-$G$120)</f>
        <v>0</v>
      </c>
      <c r="C95" s="7" t="s">
        <v>27</v>
      </c>
      <c r="D95" s="39">
        <f>(B95*B$119)/1000</f>
        <v>0</v>
      </c>
      <c r="E95" s="8" t="s">
        <v>43</v>
      </c>
      <c r="G95" t="s">
        <v>83</v>
      </c>
      <c r="H95" s="4">
        <v>0</v>
      </c>
      <c r="I95" s="4">
        <v>0</v>
      </c>
      <c r="J95" s="4">
        <v>0</v>
      </c>
      <c r="M95" s="16">
        <f>(((H95/$B$119)*1000*$H$2)  * $B$119 )/1000</f>
        <v>0</v>
      </c>
      <c r="N95" s="16">
        <f>(((I95/$B$119)*1000*$H$2)  * $B$119 )/1000</f>
        <v>0</v>
      </c>
      <c r="O95" s="16">
        <f>(((J95/$B$119)*1000*$H$2)  * $B$119 )/1000</f>
        <v>0</v>
      </c>
      <c r="Q95" s="19">
        <f>M95-$D95</f>
        <v>0</v>
      </c>
      <c r="R95" s="19">
        <f>N95-$D95</f>
        <v>0</v>
      </c>
      <c r="S95" s="19">
        <f>O95-$D95</f>
        <v>0</v>
      </c>
      <c r="V95" s="20">
        <v>0</v>
      </c>
      <c r="W95" s="20">
        <v>0</v>
      </c>
      <c r="X95" s="20">
        <v>0</v>
      </c>
    </row>
    <row r="96" spans="1:24" ht="16.5" thickTop="1" thickBot="1" x14ac:dyDescent="0.3">
      <c r="A96" s="6" t="s">
        <v>47</v>
      </c>
      <c r="B96" s="37">
        <f>(B85)*(1-$G$120)</f>
        <v>1.1113293406141761E-4</v>
      </c>
      <c r="C96" s="7" t="s">
        <v>27</v>
      </c>
      <c r="D96" s="39">
        <f>B96*B$120/1000</f>
        <v>1.0899807039809779E-5</v>
      </c>
      <c r="E96" s="8" t="s">
        <v>43</v>
      </c>
      <c r="G96" t="s">
        <v>82</v>
      </c>
      <c r="V96" s="18"/>
      <c r="W96" s="18"/>
      <c r="X96" s="18"/>
    </row>
    <row r="97" spans="1:24" ht="16.5" thickTop="1" thickBot="1" x14ac:dyDescent="0.3">
      <c r="A97" s="23" t="s">
        <v>4</v>
      </c>
      <c r="B97" s="40">
        <f>B$11</f>
        <v>17559.210607143861</v>
      </c>
      <c r="C97" s="11" t="s">
        <v>27</v>
      </c>
      <c r="D97" s="41">
        <f>B97*B$121/1000</f>
        <v>316.33409566666671</v>
      </c>
      <c r="E97" s="12" t="s">
        <v>43</v>
      </c>
      <c r="G97" t="s">
        <v>67</v>
      </c>
      <c r="H97" s="4">
        <v>999999.99999617098</v>
      </c>
      <c r="I97" s="4">
        <v>999999.99999618495</v>
      </c>
      <c r="J97" s="4">
        <v>999999.99999618297</v>
      </c>
      <c r="M97" s="16">
        <f>(((H97/$B$121)/1000*$H$2)  * $B$121 )/1000</f>
        <v>315.44999999879212</v>
      </c>
      <c r="N97" s="16">
        <f>(((I97/$B$121)/1000*$H$2)  * $B$121 )/1000</f>
        <v>315.4499999987965</v>
      </c>
      <c r="O97" s="16">
        <f>(((J97/$B$121)/1000*$H$2)  * $B$121 )/1000</f>
        <v>315.44999999879587</v>
      </c>
      <c r="Q97" s="19">
        <f>M97-$D97</f>
        <v>-0.88409566787458971</v>
      </c>
      <c r="R97" s="19">
        <f>N97-$D97</f>
        <v>-0.88409566787021276</v>
      </c>
      <c r="S97" s="19">
        <f>O97-$D97</f>
        <v>-0.88409566787083804</v>
      </c>
      <c r="V97" s="20">
        <f t="shared" ref="V97:X97" si="25">ABS(Q97/M97)</f>
        <v>2.8026491294277224E-3</v>
      </c>
      <c r="W97" s="20">
        <f t="shared" si="25"/>
        <v>2.8026491294138082E-3</v>
      </c>
      <c r="X97" s="20">
        <f t="shared" si="25"/>
        <v>2.8026491294157957E-3</v>
      </c>
    </row>
    <row r="98" spans="1:24" x14ac:dyDescent="0.25">
      <c r="U98" t="s">
        <v>93</v>
      </c>
      <c r="V98" s="18">
        <f>MIN(V2:V97)</f>
        <v>0</v>
      </c>
      <c r="W98" s="18">
        <f t="shared" ref="W98:X98" si="26">MIN(W2:W97)</f>
        <v>0</v>
      </c>
      <c r="X98" s="18">
        <f t="shared" si="26"/>
        <v>0</v>
      </c>
    </row>
    <row r="99" spans="1:24" x14ac:dyDescent="0.25">
      <c r="U99" t="s">
        <v>94</v>
      </c>
      <c r="V99" s="18">
        <f>AVERAGE(V2:V97)</f>
        <v>1.0780378981228495E-3</v>
      </c>
      <c r="W99" s="18">
        <f t="shared" ref="W99:X99" si="27">AVERAGE(W2:W97)</f>
        <v>5.8194866145791003E-4</v>
      </c>
      <c r="X99" s="18">
        <f t="shared" si="27"/>
        <v>1.0564193325284111E-3</v>
      </c>
    </row>
    <row r="100" spans="1:24" x14ac:dyDescent="0.25">
      <c r="U100" t="s">
        <v>95</v>
      </c>
      <c r="V100" s="18">
        <f>MAX(V2:V97)</f>
        <v>2.8146629355031202E-3</v>
      </c>
      <c r="W100" s="18">
        <f t="shared" ref="W100:X100" si="28">MAX(W2:W97)</f>
        <v>2.8146828561331511E-3</v>
      </c>
      <c r="X100" s="18">
        <f t="shared" si="28"/>
        <v>2.8147019956037667E-3</v>
      </c>
    </row>
    <row r="112" spans="1:24" ht="15.75" thickBot="1" x14ac:dyDescent="0.3"/>
    <row r="113" spans="1:7" ht="15.75" thickBot="1" x14ac:dyDescent="0.3">
      <c r="A113" s="43" t="s">
        <v>98</v>
      </c>
      <c r="B113" s="44"/>
      <c r="C113" s="44"/>
      <c r="D113" s="44"/>
      <c r="E113" s="44"/>
      <c r="F113" s="44"/>
      <c r="G113" s="45"/>
    </row>
    <row r="114" spans="1:7" x14ac:dyDescent="0.25">
      <c r="A114" s="5" t="s">
        <v>12</v>
      </c>
      <c r="B114" s="42" t="s">
        <v>13</v>
      </c>
      <c r="C114" s="42"/>
      <c r="D114" s="21">
        <v>1</v>
      </c>
      <c r="E114" s="21" t="s">
        <v>23</v>
      </c>
      <c r="F114" s="21" t="s">
        <v>24</v>
      </c>
      <c r="G114" s="22">
        <f>1/1000</f>
        <v>1E-3</v>
      </c>
    </row>
    <row r="115" spans="1:7" x14ac:dyDescent="0.25">
      <c r="A115" s="6" t="s">
        <v>14</v>
      </c>
      <c r="B115" s="7">
        <v>17.030999999999999</v>
      </c>
      <c r="C115" s="7" t="s">
        <v>21</v>
      </c>
      <c r="D115" s="7">
        <v>1</v>
      </c>
      <c r="E115" s="7" t="s">
        <v>26</v>
      </c>
      <c r="F115" s="7" t="s">
        <v>24</v>
      </c>
      <c r="G115" s="8">
        <v>3.7854100000000002</v>
      </c>
    </row>
    <row r="116" spans="1:7" x14ac:dyDescent="0.25">
      <c r="A116" s="6" t="s">
        <v>17</v>
      </c>
      <c r="B116" s="7">
        <v>132.13999999999999</v>
      </c>
      <c r="C116" s="7" t="s">
        <v>21</v>
      </c>
      <c r="D116" s="7">
        <v>1</v>
      </c>
      <c r="E116" s="7" t="s">
        <v>50</v>
      </c>
      <c r="F116" s="7" t="s">
        <v>24</v>
      </c>
      <c r="G116" s="8">
        <v>0.99999899999999997</v>
      </c>
    </row>
    <row r="117" spans="1:7" x14ac:dyDescent="0.25">
      <c r="A117" s="6" t="s">
        <v>15</v>
      </c>
      <c r="B117" s="7">
        <v>159.60900000000001</v>
      </c>
      <c r="C117" s="7" t="s">
        <v>21</v>
      </c>
      <c r="D117" s="7">
        <v>1</v>
      </c>
      <c r="E117" s="7" t="s">
        <v>51</v>
      </c>
      <c r="F117" s="7" t="s">
        <v>24</v>
      </c>
      <c r="G117" s="8">
        <f>G116/2</f>
        <v>0.49999949999999999</v>
      </c>
    </row>
    <row r="118" spans="1:7" x14ac:dyDescent="0.25">
      <c r="A118" s="6" t="s">
        <v>16</v>
      </c>
      <c r="B118" s="7">
        <v>95.611000000000004</v>
      </c>
      <c r="C118" s="7" t="s">
        <v>21</v>
      </c>
      <c r="D118" s="7"/>
      <c r="E118" s="7" t="s">
        <v>88</v>
      </c>
      <c r="F118" s="7" t="s">
        <v>24</v>
      </c>
      <c r="G118" s="8">
        <v>0.999</v>
      </c>
    </row>
    <row r="119" spans="1:7" x14ac:dyDescent="0.25">
      <c r="A119" s="6" t="s">
        <v>18</v>
      </c>
      <c r="B119" s="7">
        <v>34.0809</v>
      </c>
      <c r="C119" s="7" t="s">
        <v>21</v>
      </c>
      <c r="D119" s="7"/>
      <c r="E119" s="7" t="s">
        <v>87</v>
      </c>
      <c r="F119" s="7" t="s">
        <v>24</v>
      </c>
      <c r="G119" s="8">
        <v>0.99990000000000001</v>
      </c>
    </row>
    <row r="120" spans="1:7" x14ac:dyDescent="0.25">
      <c r="A120" s="6" t="s">
        <v>19</v>
      </c>
      <c r="B120" s="7">
        <v>98.078999999999994</v>
      </c>
      <c r="C120" s="7" t="s">
        <v>21</v>
      </c>
      <c r="D120" s="7"/>
      <c r="E120" s="7" t="s">
        <v>89</v>
      </c>
      <c r="F120" s="7" t="s">
        <v>24</v>
      </c>
      <c r="G120" s="8">
        <v>0.999</v>
      </c>
    </row>
    <row r="121" spans="1:7" x14ac:dyDescent="0.25">
      <c r="A121" s="6" t="s">
        <v>20</v>
      </c>
      <c r="B121" s="7">
        <v>18.015280000000001</v>
      </c>
      <c r="C121" s="7" t="s">
        <v>21</v>
      </c>
      <c r="D121" s="7"/>
      <c r="E121" s="7" t="s">
        <v>90</v>
      </c>
      <c r="F121" s="7" t="s">
        <v>24</v>
      </c>
      <c r="G121" s="8">
        <v>0.99990000000000001</v>
      </c>
    </row>
    <row r="122" spans="1:7" x14ac:dyDescent="0.25">
      <c r="A122" s="10" t="s">
        <v>30</v>
      </c>
      <c r="B122" s="7">
        <f>B11</f>
        <v>17559.210607143861</v>
      </c>
      <c r="C122" s="7" t="s">
        <v>33</v>
      </c>
      <c r="D122" s="7"/>
      <c r="E122" s="7"/>
      <c r="F122" s="7"/>
      <c r="G122" s="8"/>
    </row>
    <row r="123" spans="1:7" x14ac:dyDescent="0.25">
      <c r="A123" s="10" t="s">
        <v>31</v>
      </c>
      <c r="B123" s="7">
        <v>8.3144620000000007</v>
      </c>
      <c r="C123" s="7" t="s">
        <v>36</v>
      </c>
      <c r="D123" s="7"/>
      <c r="E123" s="7"/>
      <c r="F123" s="7"/>
      <c r="G123" s="8"/>
    </row>
    <row r="124" spans="1:7" x14ac:dyDescent="0.25">
      <c r="A124" s="10" t="s">
        <v>32</v>
      </c>
      <c r="B124" s="7">
        <v>290</v>
      </c>
      <c r="C124" s="7" t="s">
        <v>34</v>
      </c>
      <c r="D124" s="7"/>
      <c r="E124" s="7"/>
      <c r="F124" s="7"/>
      <c r="G124" s="8"/>
    </row>
    <row r="125" spans="1:7" x14ac:dyDescent="0.25">
      <c r="A125" s="6" t="s">
        <v>28</v>
      </c>
      <c r="B125" s="7">
        <v>1002.8</v>
      </c>
      <c r="C125" s="7" t="s">
        <v>25</v>
      </c>
      <c r="D125" s="7"/>
      <c r="E125" s="7"/>
      <c r="F125" s="7"/>
      <c r="G125" s="8"/>
    </row>
    <row r="126" spans="1:7" ht="15.75" thickBot="1" x14ac:dyDescent="0.3">
      <c r="A126" s="23" t="s">
        <v>54</v>
      </c>
      <c r="B126" s="11">
        <v>0.8</v>
      </c>
      <c r="C126" s="11"/>
      <c r="D126" s="11"/>
      <c r="E126" s="11"/>
      <c r="F126" s="11"/>
      <c r="G126" s="12"/>
    </row>
  </sheetData>
  <mergeCells count="6">
    <mergeCell ref="A1:C1"/>
    <mergeCell ref="A8:E8"/>
    <mergeCell ref="A113:G113"/>
    <mergeCell ref="M1:O1"/>
    <mergeCell ref="Q1:S1"/>
    <mergeCell ref="V1: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Both_0ppm</vt:lpstr>
      <vt:lpstr>Both_12k ppm</vt:lpstr>
      <vt:lpstr>H2S_12k ppm</vt:lpstr>
      <vt:lpstr>NH3_12k ppm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Nathanael R. TCHAMANBE DJINE</dc:creator>
  <cp:lastModifiedBy>Cline, Nathan A (ES)</cp:lastModifiedBy>
  <dcterms:created xsi:type="dcterms:W3CDTF">2017-04-06T18:06:35Z</dcterms:created>
  <dcterms:modified xsi:type="dcterms:W3CDTF">2017-04-14T14:01:59Z</dcterms:modified>
</cp:coreProperties>
</file>