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ulaT\Desktop\08 Excel Project 2\"/>
    </mc:Choice>
  </mc:AlternateContent>
  <xr:revisionPtr revIDLastSave="0" documentId="13_ncr:1_{CFC49E7A-F4F0-4D21-9259-A98F8EA9DF25}" xr6:coauthVersionLast="47" xr6:coauthVersionMax="47" xr10:uidLastSave="{00000000-0000-0000-0000-000000000000}"/>
  <bookViews>
    <workbookView xWindow="28692" yWindow="-108" windowWidth="20712" windowHeight="11016" firstSheet="1" activeTab="1" xr2:uid="{5BBF3846-4C6D-4871-B649-C959D40EA238}"/>
  </bookViews>
  <sheets>
    <sheet name="Forecast 2024" sheetId="17" r:id="rId1"/>
    <sheet name="Waterfall" sheetId="18" r:id="rId2"/>
    <sheet name="Sales until 2022" sheetId="16" r:id="rId3"/>
    <sheet name="External Data" sheetId="2" r:id="rId4"/>
    <sheet name="Promotion Analysis" sheetId="15" r:id="rId5"/>
    <sheet name="Promotion Graph" sheetId="14" r:id="rId6"/>
    <sheet name="Organic Shampoo Launch" sheetId="12" r:id="rId7"/>
    <sheet name="New Category Opportunity" sheetId="11" r:id="rId8"/>
    <sheet name="Profitability Matrix" sheetId="10" r:id="rId9"/>
    <sheet name="50ml Shampoo 2024" sheetId="13" r:id="rId10"/>
    <sheet name="Internal Sales Data" sheetId="9" r:id="rId11"/>
    <sheet name="Brands per Supplier" sheetId="3" r:id="rId12"/>
    <sheet name="HealthMax Growth" sheetId="4" r:id="rId13"/>
    <sheet name="MAT Value Total Category" sheetId="6" r:id="rId14"/>
    <sheet name="Market Share" sheetId="7"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9" hidden="1">'50ml Shampoo 2024'!$A$1:$I$12</definedName>
    <definedName name="ExternalData_1" localSheetId="10" hidden="1">'Internal Sales Data'!$A$1:$I$11</definedName>
    <definedName name="ExternalData_1" localSheetId="6" hidden="1">'Organic Shampoo Launch'!$A$1:$I$3</definedName>
    <definedName name="ExternalData_1" localSheetId="4" hidden="1">'Promotion Analysis'!$A$1:$J$4</definedName>
    <definedName name="Slicer_Region">#N/A</definedName>
  </definedNames>
  <calcPr calcId="191029"/>
  <pivotCaches>
    <pivotCache cacheId="15" r:id="rId16"/>
    <pivotCache cacheId="10"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8" l="1"/>
  <c r="D2" i="18"/>
  <c r="C2" i="18"/>
  <c r="B2" i="18"/>
  <c r="A2" i="18"/>
  <c r="F8" i="17"/>
  <c r="F7" i="17"/>
  <c r="G6" i="17"/>
  <c r="F6" i="17"/>
  <c r="J3" i="15"/>
  <c r="J4" i="15"/>
  <c r="J2" i="15"/>
  <c r="H3" i="15"/>
  <c r="H4" i="15"/>
  <c r="H2" i="15"/>
  <c r="F3" i="15"/>
  <c r="F4" i="15"/>
  <c r="F2" i="15"/>
  <c r="I12" i="13"/>
  <c r="H12" i="13"/>
  <c r="E12" i="13"/>
  <c r="M12" i="13" s="1"/>
  <c r="J12" i="13"/>
  <c r="K12" i="13" s="1"/>
  <c r="M2" i="13"/>
  <c r="M3" i="13"/>
  <c r="M4" i="13"/>
  <c r="M5" i="13"/>
  <c r="M6" i="13"/>
  <c r="M7" i="13"/>
  <c r="M8" i="13"/>
  <c r="M9" i="13"/>
  <c r="M10" i="13"/>
  <c r="M11" i="13"/>
  <c r="J11" i="13"/>
  <c r="L11" i="13" s="1"/>
  <c r="I11" i="13"/>
  <c r="J10" i="13"/>
  <c r="K10" i="13" s="1"/>
  <c r="I10" i="13"/>
  <c r="J9" i="13"/>
  <c r="L9" i="13" s="1"/>
  <c r="I9" i="13"/>
  <c r="J8" i="13"/>
  <c r="L8" i="13" s="1"/>
  <c r="I8" i="13"/>
  <c r="J7" i="13"/>
  <c r="L7" i="13" s="1"/>
  <c r="I7" i="13"/>
  <c r="J6" i="13"/>
  <c r="L6" i="13" s="1"/>
  <c r="I6" i="13"/>
  <c r="J5" i="13"/>
  <c r="K5" i="13" s="1"/>
  <c r="I5" i="13"/>
  <c r="J4" i="13"/>
  <c r="K4" i="13" s="1"/>
  <c r="I4" i="13"/>
  <c r="J3" i="13"/>
  <c r="K3" i="13" s="1"/>
  <c r="I3" i="13"/>
  <c r="J2" i="13"/>
  <c r="K2" i="13" s="1"/>
  <c r="I2" i="13"/>
  <c r="I3" i="12"/>
  <c r="I2" i="12"/>
  <c r="H3" i="12"/>
  <c r="H2" i="12"/>
  <c r="G3" i="12"/>
  <c r="G2" i="12"/>
  <c r="E3" i="12"/>
  <c r="E2" i="12"/>
  <c r="C3" i="12"/>
  <c r="C2" i="12"/>
  <c r="M2" i="9"/>
  <c r="M3" i="9"/>
  <c r="M4" i="9"/>
  <c r="M5" i="9"/>
  <c r="M6" i="9"/>
  <c r="M7" i="9"/>
  <c r="M8" i="9"/>
  <c r="M9" i="9"/>
  <c r="M10" i="9"/>
  <c r="M11" i="9"/>
  <c r="L8" i="9"/>
  <c r="L9" i="9"/>
  <c r="L10" i="9"/>
  <c r="L11" i="9"/>
  <c r="J3" i="9"/>
  <c r="K3" i="9" s="1"/>
  <c r="J2" i="9"/>
  <c r="K2" i="9" s="1"/>
  <c r="J4" i="9"/>
  <c r="K4" i="9" s="1"/>
  <c r="J5" i="9"/>
  <c r="K5" i="9" s="1"/>
  <c r="J6" i="9"/>
  <c r="K6" i="9" s="1"/>
  <c r="J7" i="9"/>
  <c r="K7" i="9" s="1"/>
  <c r="J8" i="9"/>
  <c r="K8" i="9" s="1"/>
  <c r="J9" i="9"/>
  <c r="K9" i="9" s="1"/>
  <c r="J10" i="9"/>
  <c r="K10" i="9" s="1"/>
  <c r="J11" i="9"/>
  <c r="K11" i="9" s="1"/>
  <c r="I3" i="9"/>
  <c r="I4" i="9"/>
  <c r="I5" i="9"/>
  <c r="I6" i="9"/>
  <c r="I7" i="9"/>
  <c r="I8" i="9"/>
  <c r="I9" i="9"/>
  <c r="I10" i="9"/>
  <c r="I11" i="9"/>
  <c r="I2" i="9"/>
  <c r="C7" i="17"/>
  <c r="C8" i="17"/>
  <c r="G3" i="15"/>
  <c r="G4" i="15"/>
  <c r="G2" i="15"/>
  <c r="B20" i="11"/>
  <c r="L2" i="13" l="1"/>
  <c r="L12" i="13"/>
  <c r="K7" i="13"/>
  <c r="L3" i="13"/>
  <c r="K9" i="13"/>
  <c r="L5" i="13"/>
  <c r="K6" i="13"/>
  <c r="L4" i="13"/>
  <c r="K8" i="13"/>
  <c r="L10" i="13"/>
  <c r="K11" i="13"/>
  <c r="L7" i="9"/>
  <c r="L6" i="9"/>
  <c r="L5" i="9"/>
  <c r="L4" i="9"/>
  <c r="L3" i="9"/>
  <c r="L2" i="9"/>
  <c r="K12" i="9"/>
  <c r="L12" i="9" s="1"/>
  <c r="I12" i="9"/>
  <c r="D8" i="17"/>
  <c r="E8" i="17"/>
  <c r="E7" i="17"/>
  <c r="D7" i="17"/>
  <c r="H12" i="9" l="1"/>
  <c r="K4433" i="2" l="1"/>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384E47-8868-44FF-BD27-4FA88221E9D3}"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62845317-FEDF-4104-B2CC-E320332F2D49}"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8AD41F98-C18B-4121-B9DF-C85408EA85C2}"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91CCAE75-2533-4A1F-9D78-655D3BC1BD9A}"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<sst xmlns="http://schemas.openxmlformats.org/spreadsheetml/2006/main" count="22432" uniqueCount="127">
  <si>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</si>
  <si>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</si>
  <si>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</si>
  <si>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</si>
  <si>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</si>
  <si>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</si>
  <si>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</si>
  <si>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</si>
  <si>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</si>
  <si>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</si>
  <si>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</si>
  <si>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</si>
  <si>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</si>
  <si>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</si>
  <si>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</si>
  <si>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</si>
  <si>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</si>
  <si>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</si>
  <si>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</si>
  <si>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</si>
  <si>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</si>
  <si>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</si>
  <si>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</si>
  <si>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</si>
  <si>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</si>
  <si>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</si>
  <si>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</si>
  <si>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</si>
  <si>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</si>
  <si>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</si>
  <si>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</si>
  <si>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</si>
  <si>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</si>
  <si>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</si>
  <si>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</si>
  <si>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</si>
  <si>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</si>
  <si>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</si>
  <si>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</si>
  <si>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</si>
  <si>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</si>
  <si>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</si>
  <si>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</si>
  <si>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</si>
  <si>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</si>
  <si>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</si>
  <si>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</si>
  <si>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</si>
  <si>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</si>
  <si>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</si>
  <si>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</si>
  <si>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</si>
  <si>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</si>
  <si>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</si>
  <si>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</si>
  <si>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</si>
  <si>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</si>
  <si>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</si>
  <si>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</si>
  <si>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</si>
  <si>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</si>
  <si>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</si>
  <si>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</si>
  <si>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</si>
  <si>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</si>
  <si>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</si>
  <si>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</si>
  <si>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</si>
  <si>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</si>
  <si>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</si>
  <si>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</si>
  <si>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</si>
  <si>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</si>
  <si>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</si>
  <si>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</si>
  <si>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</si>
  <si>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</si>
  <si>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</si>
  <si>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</si>
  <si>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</si>
  <si>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</si>
  <si>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</si>
  <si>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</si>
  <si>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</si>
  <si>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</si>
  <si>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</si>
  <si>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</si>
  <si>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</si>
  <si>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</si>
  <si>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</si>
  <si>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</si>
  <si>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</si>
  <si>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</si>
  <si>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</si>
  <si>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</si>
  <si>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</si>
  <si>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</si>
  <si>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MAT</t>
  </si>
  <si>
    <t>Sum of Units Month</t>
  </si>
  <si>
    <t>Estimated FY '24 Organic subcategory value</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</si>
  <si>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</si>
  <si>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</si>
  <si>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</si>
  <si>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</si>
  <si>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</si>
  <si>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</si>
  <si>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</si>
  <si>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</si>
  <si>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</si>
  <si>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</si>
  <si>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</si>
  <si>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</si>
  <si>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</si>
  <si>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</si>
  <si>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</si>
  <si>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</si>
  <si>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</si>
  <si>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Forecast(Sum of Values Month)</t>
  </si>
  <si>
    <t>Lower Confidence Bound(Sum of Values Month)</t>
  </si>
  <si>
    <t>Upper Confidence Bound(Sum of Values Month)</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</si>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</sst>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quot;€&quot;\ * #,##0.00_ ;_ &quot;€&quot;\ * \-#,##0.00_ ;_ &quot;€&quot;\ * &quot;-&quot;??_ ;_ @_ "/>
    <numFmt numFmtId="165" formatCode="_-[$$-409]* #,##0_ ;_-[$$-409]* \-#,##0\ ;_-[$$-409]* &quot;-&quot;??_ ;_-@_ "/>
    <numFmt numFmtId="166" formatCode="&quot;$&quot;#,##0.00"/>
    <numFmt numFmtId="174" formatCode="0.0%"/>
    <numFmt numFmtId="177" formatCode="&quot;$&quot;#,##0"/>
    <numFmt numFmtId="178" formatCode="&quot;$&quot;#,##0.000"/>
  </numFmts>
  <fonts count="2" x14ac:knownFonts="1">
    <font>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0" fontId="0" fillId="0" borderId="0" xfId="0" applyNumberFormat="1"/>
    <xf numFmtId="166" fontId="0" fillId="0" borderId="0" xfId="0" applyNumberFormat="1"/>
    <xf numFmtId="3" fontId="0" fillId="0" borderId="0" xfId="0" applyNumberFormat="1"/>
    <xf numFmtId="174" fontId="0" fillId="0" borderId="0" xfId="0" applyNumberFormat="1"/>
    <xf numFmtId="177" fontId="0" fillId="0" borderId="0" xfId="0" applyNumberFormat="1"/>
    <xf numFmtId="9" fontId="0" fillId="0" borderId="0" xfId="2" applyFont="1"/>
    <xf numFmtId="178" fontId="0" fillId="0" borderId="0" xfId="0" applyNumberFormat="1"/>
  </cellXfs>
  <cellStyles count="3">
    <cellStyle name="Currency" xfId="1" builtinId="4"/>
    <cellStyle name="Normal" xfId="0" builtinId="0"/>
    <cellStyle name="Percent" xfId="2" builtinId="5"/>
  </cellStyles>
  <dxfs count="71">
    <dxf>
      <numFmt numFmtId="14" formatCode="0.00%"/>
    </dxf>
    <dxf>
      <numFmt numFmtId="177" formatCode="&quot;$&quot;#,##0"/>
    </dxf>
    <dxf>
      <numFmt numFmtId="177" formatCode="&quot;$&quot;#,##0"/>
    </dxf>
    <dxf>
      <numFmt numFmtId="177" formatCode="&quot;$&quot;#,##0"/>
    </dxf>
    <dxf>
      <numFmt numFmtId="177" formatCode="&quot;$&quot;#,##0"/>
    </dxf>
    <dxf>
      <numFmt numFmtId="177" formatCode="&quot;$&quot;#,##0"/>
    </dxf>
    <dxf>
      <numFmt numFmtId="177" formatCode="&quot;$&quot;#,##0"/>
    </dxf>
    <dxf>
      <numFmt numFmtId="176" formatCode="&quot;$&quot;#,##0.0"/>
    </dxf>
    <dxf>
      <numFmt numFmtId="177" formatCode="&quot;$&quot;#,##0"/>
    </dxf>
    <dxf>
      <numFmt numFmtId="176" formatCode="&quot;$&quot;#,##0.0"/>
    </dxf>
    <dxf>
      <numFmt numFmtId="166" formatCode="&quot;$&quot;#,##0.00"/>
    </dxf>
    <dxf>
      <numFmt numFmtId="166" formatCode="&quot;$&quot;#,##0.00"/>
    </dxf>
    <dxf>
      <numFmt numFmtId="177" formatCode="&quot;$&quot;#,##0"/>
    </dxf>
    <dxf>
      <numFmt numFmtId="0" formatCode="General"/>
    </dxf>
    <dxf>
      <numFmt numFmtId="0" formatCode="General"/>
    </dxf>
    <dxf>
      <numFmt numFmtId="177" formatCode="&quot;$&quot;#,##0"/>
    </dxf>
    <dxf>
      <numFmt numFmtId="3" formatCode="#,##0"/>
    </dxf>
    <dxf>
      <numFmt numFmtId="0" formatCode="General"/>
    </dxf>
    <dxf>
      <numFmt numFmtId="0" formatCode="General"/>
    </dxf>
    <dxf>
      <numFmt numFmtId="178" formatCode="&quot;$&quot;#,##0.000"/>
    </dxf>
    <dxf>
      <numFmt numFmtId="13" formatCode="0%"/>
    </dxf>
    <dxf>
      <numFmt numFmtId="174" formatCode="0.0%"/>
    </dxf>
    <dxf>
      <numFmt numFmtId="166" formatCode="&quot;$&quot;#,##0.00"/>
    </dxf>
    <dxf>
      <numFmt numFmtId="166" formatCode="&quot;$&quot;#,##0.00"/>
    </dxf>
    <dxf>
      <numFmt numFmtId="166" formatCode="&quot;$&quot;#,##0.00"/>
    </dxf>
    <dxf>
      <numFmt numFmtId="0" formatCode="General"/>
    </dxf>
    <dxf>
      <numFmt numFmtId="166" formatCode="&quot;$&quot;#,##0.00"/>
    </dxf>
    <dxf>
      <numFmt numFmtId="3" formatCode="#,##0"/>
    </dxf>
    <dxf>
      <numFmt numFmtId="3" formatCode="#,##0"/>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177" formatCode="&quot;$&quot;#,##0"/>
    </dxf>
    <dxf>
      <numFmt numFmtId="0" formatCode="General"/>
    </dxf>
    <dxf>
      <numFmt numFmtId="177" formatCode="&quot;$&quot;#,##0"/>
    </dxf>
    <dxf>
      <numFmt numFmtId="166" formatCode="&quot;$&quot;#,##0.00"/>
    </dxf>
    <dxf>
      <numFmt numFmtId="166" formatCode="&quot;$&quot;#,##0.00"/>
    </dxf>
    <dxf>
      <numFmt numFmtId="3" formatCode="#,##0"/>
    </dxf>
    <dxf>
      <numFmt numFmtId="14" formatCode="0.00%"/>
    </dxf>
    <dxf>
      <numFmt numFmtId="0" formatCode="General"/>
    </dxf>
    <dxf>
      <numFmt numFmtId="13" formatCode="0%"/>
    </dxf>
    <dxf>
      <numFmt numFmtId="13" formatCode="0%"/>
    </dxf>
    <dxf>
      <numFmt numFmtId="13" formatCode="0%"/>
    </dxf>
    <dxf>
      <numFmt numFmtId="13" formatCode="0%"/>
    </dxf>
    <dxf>
      <numFmt numFmtId="174" formatCode="0.0%"/>
    </dxf>
    <dxf>
      <numFmt numFmtId="166" formatCode="&quot;$&quot;#,##0.00"/>
    </dxf>
    <dxf>
      <numFmt numFmtId="166" formatCode="&quot;$&quot;#,##0.00"/>
    </dxf>
    <dxf>
      <numFmt numFmtId="3" formatCode="#,##0"/>
    </dxf>
    <dxf>
      <numFmt numFmtId="166" formatCode="&quot;$&quot;#,##0.00"/>
    </dxf>
    <dxf>
      <numFmt numFmtId="166" formatCode="&quot;$&quot;#,##0.00"/>
    </dxf>
    <dxf>
      <numFmt numFmtId="3" formatCode="#,##0"/>
    </dxf>
    <dxf>
      <numFmt numFmtId="0" formatCode="General"/>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E05B-4D6B-9DC4-7D19DF047194}"/>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E05B-4D6B-9DC4-7D19DF047194}"/>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E05B-4D6B-9DC4-7D19DF047194}"/>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E05B-4D6B-9DC4-7D19DF047194}"/>
            </c:ext>
          </c:extLst>
        </c:ser>
        <c:dLbls>
          <c:showLegendKey val="0"/>
          <c:showVal val="0"/>
          <c:showCatName val="0"/>
          <c:showSerName val="0"/>
          <c:showPercent val="0"/>
          <c:showBubbleSize val="0"/>
        </c:dLbls>
        <c:smooth val="0"/>
        <c:axId val="599053423"/>
        <c:axId val="599054383"/>
      </c:lineChart>
      <c:catAx>
        <c:axId val="59905342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599054383"/>
        <c:crosses val="autoZero"/>
        <c:auto val="1"/>
        <c:lblAlgn val="ctr"/>
        <c:lblOffset val="100"/>
        <c:noMultiLvlLbl val="0"/>
      </c:catAx>
      <c:valAx>
        <c:axId val="5990543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59905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1 Solution.xlsx]Promotion Graph!PivotTable6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JO"/>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67CD-4CCD-B0CE-C0C0B8F57292}"/>
            </c:ext>
          </c:extLst>
        </c:ser>
        <c:dLbls>
          <c:showLegendKey val="0"/>
          <c:showVal val="0"/>
          <c:showCatName val="0"/>
          <c:showSerName val="0"/>
          <c:showPercent val="0"/>
          <c:showBubbleSize val="0"/>
        </c:dLbls>
        <c:smooth val="0"/>
        <c:axId val="1317290063"/>
        <c:axId val="1317290543"/>
      </c:lineChart>
      <c:catAx>
        <c:axId val="131729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1317290543"/>
        <c:crosses val="autoZero"/>
        <c:auto val="1"/>
        <c:lblAlgn val="ctr"/>
        <c:lblOffset val="100"/>
        <c:noMultiLvlLbl val="0"/>
      </c:catAx>
      <c:valAx>
        <c:axId val="131729054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131729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scatterChart>
        <c:scatterStyle val="lineMarker"/>
        <c:varyColors val="0"/>
        <c:ser>
          <c:idx val="0"/>
          <c:order val="0"/>
          <c:tx>
            <c:strRef>
              <c:f>'Profitability Matrix'!$A$20</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3">
                  <c:v>0.18619281693140505</c:v>
                </c:pt>
              </c:numCache>
            </c:numRef>
          </c:yVal>
          <c:smooth val="0"/>
          <c:extLst>
            <c:ext xmlns:c16="http://schemas.microsoft.com/office/drawing/2014/chart" uri="{C3380CC4-5D6E-409C-BE32-E72D297353CC}">
              <c16:uniqueId val="{00000000-4CE3-4B36-91C8-A4F386772968}"/>
            </c:ext>
          </c:extLst>
        </c:ser>
        <c:ser>
          <c:idx val="1"/>
          <c:order val="1"/>
          <c:tx>
            <c:strRef>
              <c:f>'Profitability Matrix'!$A$21</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5">
                  <c:v>9.6896202583240873E-2</c:v>
                </c:pt>
              </c:numCache>
            </c:numRef>
          </c:yVal>
          <c:smooth val="0"/>
          <c:extLst>
            <c:ext xmlns:c16="http://schemas.microsoft.com/office/drawing/2014/chart" uri="{C3380CC4-5D6E-409C-BE32-E72D297353CC}">
              <c16:uniqueId val="{00000001-4CE3-4B36-91C8-A4F386772968}"/>
            </c:ext>
          </c:extLst>
        </c:ser>
        <c:ser>
          <c:idx val="2"/>
          <c:order val="2"/>
          <c:tx>
            <c:strRef>
              <c:f>'Profitability Matrix'!$A$22</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7">
                  <c:v>9.6896119578325834E-2</c:v>
                </c:pt>
              </c:numCache>
            </c:numRef>
          </c:yVal>
          <c:smooth val="0"/>
          <c:extLst>
            <c:ext xmlns:c16="http://schemas.microsoft.com/office/drawing/2014/chart" uri="{C3380CC4-5D6E-409C-BE32-E72D297353CC}">
              <c16:uniqueId val="{00000002-4CE3-4B36-91C8-A4F386772968}"/>
            </c:ext>
          </c:extLst>
        </c:ser>
        <c:ser>
          <c:idx val="3"/>
          <c:order val="3"/>
          <c:tx>
            <c:strRef>
              <c:f>'Profitability Matrix'!$A$23</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9">
                  <c:v>6.8397319470522966E-2</c:v>
                </c:pt>
              </c:numCache>
            </c:numRef>
          </c:yVal>
          <c:smooth val="0"/>
          <c:extLst>
            <c:ext xmlns:c16="http://schemas.microsoft.com/office/drawing/2014/chart" uri="{C3380CC4-5D6E-409C-BE32-E72D297353CC}">
              <c16:uniqueId val="{00000003-4CE3-4B36-91C8-A4F386772968}"/>
            </c:ext>
          </c:extLst>
        </c:ser>
        <c:ser>
          <c:idx val="4"/>
          <c:order val="4"/>
          <c:tx>
            <c:strRef>
              <c:f>'Profitability Matrix'!$A$24</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4">
                  <c:v>9.8241009155398171E-2</c:v>
                </c:pt>
              </c:numCache>
            </c:numRef>
          </c:yVal>
          <c:smooth val="0"/>
          <c:extLst>
            <c:ext xmlns:c16="http://schemas.microsoft.com/office/drawing/2014/chart" uri="{C3380CC4-5D6E-409C-BE32-E72D297353CC}">
              <c16:uniqueId val="{00000004-4CE3-4B36-91C8-A4F386772968}"/>
            </c:ext>
          </c:extLst>
        </c:ser>
        <c:ser>
          <c:idx val="5"/>
          <c:order val="5"/>
          <c:tx>
            <c:strRef>
              <c:f>'Profitability Matrix'!$A$25</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0">
                  <c:v>4.7426625718030961E-2</c:v>
                </c:pt>
              </c:numCache>
            </c:numRef>
          </c:yVal>
          <c:smooth val="0"/>
          <c:extLst>
            <c:ext xmlns:c16="http://schemas.microsoft.com/office/drawing/2014/chart" uri="{C3380CC4-5D6E-409C-BE32-E72D297353CC}">
              <c16:uniqueId val="{00000005-4CE3-4B36-91C8-A4F386772968}"/>
            </c:ext>
          </c:extLst>
        </c:ser>
        <c:ser>
          <c:idx val="6"/>
          <c:order val="6"/>
          <c:tx>
            <c:strRef>
              <c:f>'Profitability Matrix'!$A$26</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1">
                  <c:v>4.178071928534096E-2</c:v>
                </c:pt>
              </c:numCache>
            </c:numRef>
          </c:yVal>
          <c:smooth val="0"/>
          <c:extLst>
            <c:ext xmlns:c16="http://schemas.microsoft.com/office/drawing/2014/chart" uri="{C3380CC4-5D6E-409C-BE32-E72D297353CC}">
              <c16:uniqueId val="{00000006-4CE3-4B36-91C8-A4F386772968}"/>
            </c:ext>
          </c:extLst>
        </c:ser>
        <c:ser>
          <c:idx val="7"/>
          <c:order val="7"/>
          <c:tx>
            <c:strRef>
              <c:f>'Profitability Matrix'!$A$27</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8">
                  <c:v>0.17502703482289086</c:v>
                </c:pt>
              </c:numCache>
            </c:numRef>
          </c:yVal>
          <c:smooth val="0"/>
          <c:extLst>
            <c:ext xmlns:c16="http://schemas.microsoft.com/office/drawing/2014/chart" uri="{C3380CC4-5D6E-409C-BE32-E72D297353CC}">
              <c16:uniqueId val="{00000007-4CE3-4B36-91C8-A4F386772968}"/>
            </c:ext>
          </c:extLst>
        </c:ser>
        <c:ser>
          <c:idx val="8"/>
          <c:order val="8"/>
          <c:tx>
            <c:strRef>
              <c:f>'Profitability Matrix'!$A$28</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Matrix'!$B$28:$K$28</c:f>
              <c:numCache>
                <c:formatCode>0%</c:formatCode>
                <c:ptCount val="10"/>
                <c:pt idx="2">
                  <c:v>0.11856673518754952</c:v>
                </c:pt>
              </c:numCache>
            </c:numRef>
          </c:yVal>
          <c:smooth val="0"/>
          <c:extLst>
            <c:ext xmlns:c16="http://schemas.microsoft.com/office/drawing/2014/chart" uri="{C3380CC4-5D6E-409C-BE32-E72D297353CC}">
              <c16:uniqueId val="{00000008-4CE3-4B36-91C8-A4F386772968}"/>
            </c:ext>
          </c:extLst>
        </c:ser>
        <c:ser>
          <c:idx val="9"/>
          <c:order val="9"/>
          <c:tx>
            <c:strRef>
              <c:f>'Profitability Matrix'!$A$29</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Matrix'!$B$19:$K$19</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Matrix'!$B$29:$K$29</c:f>
              <c:numCache>
                <c:formatCode>0%</c:formatCode>
                <c:ptCount val="10"/>
                <c:pt idx="6">
                  <c:v>7.0575417267294702E-2</c:v>
                </c:pt>
              </c:numCache>
            </c:numRef>
          </c:yVal>
          <c:smooth val="0"/>
          <c:extLst>
            <c:ext xmlns:c16="http://schemas.microsoft.com/office/drawing/2014/chart" uri="{C3380CC4-5D6E-409C-BE32-E72D297353CC}">
              <c16:uniqueId val="{00000009-4CE3-4B36-91C8-A4F386772968}"/>
            </c:ext>
          </c:extLst>
        </c:ser>
        <c:dLbls>
          <c:showLegendKey val="0"/>
          <c:showVal val="0"/>
          <c:showCatName val="0"/>
          <c:showSerName val="0"/>
          <c:showPercent val="0"/>
          <c:showBubbleSize val="0"/>
        </c:dLbls>
        <c:axId val="723347599"/>
        <c:axId val="723346639"/>
      </c:scatterChart>
      <c:valAx>
        <c:axId val="7233475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JO"/>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723346639"/>
        <c:crosses val="autoZero"/>
        <c:crossBetween val="midCat"/>
      </c:valAx>
      <c:valAx>
        <c:axId val="72334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JO"/>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723347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1 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22AE8B1B-624C-49CC-9164-92C877DD7CC1}">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975360</xdr:colOff>
      <xdr:row>9</xdr:row>
      <xdr:rowOff>53340</xdr:rowOff>
    </xdr:from>
    <xdr:to>
      <xdr:col>4</xdr:col>
      <xdr:colOff>1343025</xdr:colOff>
      <xdr:row>30</xdr:row>
      <xdr:rowOff>40005</xdr:rowOff>
    </xdr:to>
    <xdr:graphicFrame macro="">
      <xdr:nvGraphicFramePr>
        <xdr:cNvPr id="2" name="Chart 1">
          <a:extLst>
            <a:ext uri="{FF2B5EF4-FFF2-40B4-BE49-F238E27FC236}">
              <a16:creationId xmlns:a16="http://schemas.microsoft.com/office/drawing/2014/main" id="{066DF204-8E95-7044-6758-928A5092A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392430</xdr:colOff>
      <xdr:row>2</xdr:row>
      <xdr:rowOff>152400</xdr:rowOff>
    </xdr:from>
    <xdr:to>
      <xdr:col>5</xdr:col>
      <xdr:colOff>1097280</xdr:colOff>
      <xdr:row>22</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5667C9-14B3-C0AB-90BF-3573110905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2430" y="502920"/>
              <a:ext cx="7075170" cy="3436620"/>
            </a:xfrm>
            <a:prstGeom prst="rect">
              <a:avLst/>
            </a:prstGeom>
            <a:solidFill>
              <a:prstClr val="white"/>
            </a:solidFill>
            <a:ln w="1">
              <a:solidFill>
                <a:prstClr val="green"/>
              </a:solidFill>
            </a:ln>
          </xdr:spPr>
          <xdr:txBody>
            <a:bodyPr vertOverflow="clip" horzOverflow="clip"/>
            <a:lstStyle/>
            <a:p>
              <a:r>
                <a:rPr lang="ar-JO"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533400</xdr:colOff>
      <xdr:row>0</xdr:row>
      <xdr:rowOff>91440</xdr:rowOff>
    </xdr:from>
    <xdr:to>
      <xdr:col>12</xdr:col>
      <xdr:colOff>327660</xdr:colOff>
      <xdr:row>22</xdr:row>
      <xdr:rowOff>15240</xdr:rowOff>
    </xdr:to>
    <xdr:graphicFrame macro="">
      <xdr:nvGraphicFramePr>
        <xdr:cNvPr id="2" name="Chart 1">
          <a:extLst>
            <a:ext uri="{FF2B5EF4-FFF2-40B4-BE49-F238E27FC236}">
              <a16:creationId xmlns:a16="http://schemas.microsoft.com/office/drawing/2014/main" id="{1DC0FA56-0341-ECD3-90EE-4A2C66BBC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186690</xdr:colOff>
      <xdr:row>6</xdr:row>
      <xdr:rowOff>152400</xdr:rowOff>
    </xdr:from>
    <xdr:to>
      <xdr:col>19</xdr:col>
      <xdr:colOff>281940</xdr:colOff>
      <xdr:row>29</xdr:row>
      <xdr:rowOff>0</xdr:rowOff>
    </xdr:to>
    <xdr:graphicFrame macro="">
      <xdr:nvGraphicFramePr>
        <xdr:cNvPr id="2" name="Chart 1">
          <a:extLst>
            <a:ext uri="{FF2B5EF4-FFF2-40B4-BE49-F238E27FC236}">
              <a16:creationId xmlns:a16="http://schemas.microsoft.com/office/drawing/2014/main" id="{592CCD14-1426-CD63-BD20-E35F544A0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696851851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a Bassam" refreshedDate="45717.926184837961" createdVersion="8" refreshedVersion="8" minRefreshableVersion="3" recordCount="10" xr:uid="{396CEFFA-EBD9-4D2B-A253-C56F0604D2E3}">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DFFDFF-895B-430C-9847-585FE7936F1B}" name="PivotTable7"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77"/>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97BF4E-67D2-4A00-A9A2-7CF57209EC79}"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5"/>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A1090F-CA93-4B4C-9A9A-D09D3502D94B}" name="PivotTable5"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7:B18"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dataField="1" showAll="0"/>
    <pivotField numFmtId="165" showAll="0"/>
  </pivotFields>
  <rowFields count="1">
    <field x="1"/>
  </rowFields>
  <rowItems count="1">
    <i>
      <x v="3"/>
    </i>
  </rowItems>
  <colItems count="1">
    <i/>
  </colItems>
  <pageFields count="2">
    <pageField fld="5" hier="-1"/>
    <pageField fld="6" item="2" hier="-1"/>
  </pageFields>
  <dataFields count="1">
    <dataField name="Sum of Units MAT" fld="11" baseField="0" baseItem="0"/>
  </dataFields>
  <formats count="1">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1ABE55-DBEC-405F-A8A4-A775E449CFD5}" name="PivotTable4"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
    <format dxfId="44">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9BAB33-D35C-447C-B6F0-C166E6F888DD}" name="PivotTable1"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3" showAll="0"/>
    <pivotField numFmtId="166"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x v="5"/>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Sum of Values Month" fld="8" showDataAs="percentOfRow" baseField="0" baseItem="0" numFmtId="9"/>
  </dataFields>
  <formats count="1">
    <format dxfId="6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9BAC2DAD-4D03-470B-AA6F-259D28659C73}"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B0421AE-C1DC-4F27-AD3C-06CC3A72496D}"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707352B-18D4-4AD6-A8FC-493A57AB9D18}"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1F007981-3371-44BA-B403-A9071596AA91}"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10574B7-7977-4804-84F4-3112CF535AC0}" name="Table7" displayName="Table7" ref="A1:G8" totalsRowShown="0">
  <autoFilter ref="A1:G8" xr:uid="{E10574B7-7977-4804-84F4-3112CF535AC0}"/>
  <tableColumns count="7">
    <tableColumn id="1" xr3:uid="{96EA66DE-5B5F-49BB-876D-CC41B9D18DA6}" name="Row Labels"/>
    <tableColumn id="2" xr3:uid="{043DB4BA-7751-4DED-A2D7-CB38F781FA9C}" name="Market Values" dataDxfId="5"/>
    <tableColumn id="3" xr3:uid="{073CAA01-FD52-4224-827D-56F1FDFF76D7}" name="Forecast(Sum of Values Month)" dataDxfId="4"/>
    <tableColumn id="4" xr3:uid="{E9AF32B5-D776-4123-ACC0-5C6C79A23368}" name="Lower Confidence Bound(Sum of Values Month)" dataDxfId="3"/>
    <tableColumn id="5" xr3:uid="{C116DA8C-0056-49B5-9C7F-EAE3910F813D}" name="Upper Confidence Bound(Sum of Values Month)" dataDxfId="2"/>
    <tableColumn id="6" xr3:uid="{9BD0F62B-5E4F-4A70-8DEC-352DA7BDB42C}" name="Net Sales" dataDxfId="1">
      <calculatedColumnFormula>internal_sales_data[[#Totals],[Net Sales 2022]]</calculatedColumnFormula>
    </tableColumn>
    <tableColumn id="7" xr3:uid="{83BF6663-90FB-49D0-B3A4-77F045348E38}" name="Ratio" dataDxfId="0">
      <calculatedColumnFormula>Table7[[#This Row],[Net Sales]]/B2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8"/>
    <tableColumn id="2" xr3:uid="{E62B3F1F-9A15-44B4-B1DD-CAF27CF3C747}" name="Subcategory" dataDxfId="67"/>
    <tableColumn id="3" xr3:uid="{FA4BBA42-4CD5-4FEC-99C8-F3DEA363596F}" name="Supplier" dataDxfId="66"/>
    <tableColumn id="4" xr3:uid="{363950AD-92F1-4B62-BAD5-6C6ED9D314C8}" name="Brand" dataDxfId="65"/>
    <tableColumn id="5" xr3:uid="{278D3098-9E4F-422C-8E1A-9941BBC3EF43}" name="Region" dataDxfId="6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62C8FA-51A2-4AA7-AB6A-777167D87692}" name="promotion_analysis" displayName="promotion_analysis" ref="A1:J4" tableType="queryTable" totalsRowShown="0">
  <autoFilter ref="A1:J4" xr:uid="{1162C8FA-51A2-4AA7-AB6A-777167D87692}"/>
  <tableColumns count="10">
    <tableColumn id="1" xr3:uid="{7A16251D-08B8-4047-AA13-89875ED96A44}" uniqueName="1" name="Promotion " queryTableFieldId="1"/>
    <tableColumn id="2" xr3:uid="{61F81474-0604-4E32-BB23-5D395C3A40C5}" uniqueName="2" name="Mechanism" queryTableFieldId="2" dataDxfId="18"/>
    <tableColumn id="3" xr3:uid="{CFDD4D00-022C-4816-8872-5057C8A9464C}" uniqueName="3" name="Brand" queryTableFieldId="3" dataDxfId="17"/>
    <tableColumn id="4" xr3:uid="{4E587145-1A7A-4719-AE3D-61C7B0DC62ED}" uniqueName="4" name="Year" queryTableFieldId="4"/>
    <tableColumn id="5" xr3:uid="{88CC7935-386D-461F-89AA-25742E11080E}" uniqueName="5" name="Month" queryTableFieldId="5"/>
    <tableColumn id="6" xr3:uid="{79A2A7ED-9E3D-4AA9-ACC1-4B0361C72A5E}" uniqueName="6" name="Value sales" queryTableFieldId="6" dataDxfId="16"/>
    <tableColumn id="7" xr3:uid="{54F81B69-84AA-49BA-8DC4-9503C5D9C7CC}" uniqueName="7" name="Baseline sales " queryTableFieldId="7" dataDxfId="15"/>
    <tableColumn id="8" xr3:uid="{997A3CC9-495D-4096-B80E-2702384B7D53}" uniqueName="8" name="Uplift" queryTableFieldId="8" dataDxfId="14"/>
    <tableColumn id="9" xr3:uid="{DE926681-2133-467D-A56E-4B2750EB98E0}" uniqueName="9" name="Costs" queryTableFieldId="9" dataDxfId="12"/>
    <tableColumn id="10" xr3:uid="{03E7E91A-6D20-4449-B859-8B4BBB0C6CF3}" uniqueName="10" name="ROI" queryTableFieldId="10"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BBD862-2D83-483A-AA21-22782F65BAB0}" name="new_product_launch" displayName="new_product_launch" ref="A1:I3" tableType="queryTable" totalsRowShown="0">
  <autoFilter ref="A1:I3" xr:uid="{2FBBD862-2D83-483A-AA21-22782F65BAB0}"/>
  <tableColumns count="9">
    <tableColumn id="1" xr3:uid="{5E3B5DAC-FCBC-46E6-B6C7-9FCA271E4E87}" uniqueName="1" name="Product" queryTableFieldId="1" dataDxfId="42"/>
    <tableColumn id="2" xr3:uid="{A3BA4B35-CFA3-4D9E-A37D-D29FF2C72FE6}" uniqueName="2" name="Estimated Unit Market Share" queryTableFieldId="2" dataDxfId="41"/>
    <tableColumn id="3" xr3:uid="{0284515C-14E5-4D76-8EC4-4B2D53752EB0}" uniqueName="3" name="Estimated units sold 2024" queryTableFieldId="3" dataDxfId="40"/>
    <tableColumn id="4" xr3:uid="{122B0251-5D8B-425E-96EA-F67E483602A2}" uniqueName="4" name="Net Price" queryTableFieldId="4" dataDxfId="39"/>
    <tableColumn id="5" xr3:uid="{72481C40-13B1-4A75-ACA0-D22029A7E902}" uniqueName="5" name="Net Sales" queryTableFieldId="5" dataDxfId="37"/>
    <tableColumn id="6" xr3:uid="{BC909B13-0B78-45A3-ABCA-01AD430232F9}" uniqueName="6" name="COGS" queryTableFieldId="6" dataDxfId="38"/>
    <tableColumn id="7" xr3:uid="{C566D54A-8FE1-4AED-B764-2E16862EF62C}" uniqueName="7" name="Gross Profit per unit" queryTableFieldId="7" dataDxfId="36"/>
    <tableColumn id="8" xr3:uid="{A5B8CC12-4516-4AA6-975A-7719811D3D77}" uniqueName="8" name="Gross Profit per product" queryTableFieldId="8" dataDxfId="35"/>
    <tableColumn id="9" xr3:uid="{86D91A86-4360-44C4-8BD6-B23B0B6E585A}" uniqueName="9" name="Gross Margin" queryTableFieldId="9"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2F181D-C08F-4159-BEA2-EEDE8DAAE18D}" name="internal_sales_data6" displayName="internal_sales_data6" ref="A1:M12" tableType="queryTable" totalsRowShown="0">
  <autoFilter ref="A1:M12" xr:uid="{56B8433F-31E7-4ED3-8F8C-EC332D7D1058}"/>
  <tableColumns count="13">
    <tableColumn id="1" xr3:uid="{6DD6DFF2-560D-41BF-9919-278125736EB9}" uniqueName="1" name="Brand" queryTableFieldId="1" dataDxfId="34"/>
    <tableColumn id="2" xr3:uid="{567FAE06-5BCC-4B49-85D1-AD9A9F4A03B4}" uniqueName="2" name="Product" queryTableFieldId="2" dataDxfId="33"/>
    <tableColumn id="3" xr3:uid="{6010FF49-2058-40FB-A283-B1B38D87111E}" uniqueName="3" name="Pack Size (ml)" queryTableFieldId="3"/>
    <tableColumn id="4" xr3:uid="{E6A67188-9B6B-4775-BBD6-4C04658BCCE8}" uniqueName="4" name="ProductID" queryTableFieldId="4" dataDxfId="32"/>
    <tableColumn id="5" xr3:uid="{0171ADA6-ABE8-4D01-8D28-FDD2E89AA4BA}" uniqueName="5" name="Retail Price" queryTableFieldId="5" dataDxfId="31"/>
    <tableColumn id="6" xr3:uid="{6C1E0F44-6D7A-49DC-B5D5-78BA4994E1E2}" uniqueName="6" name="Net Price" queryTableFieldId="6" dataDxfId="30"/>
    <tableColumn id="7" xr3:uid="{76606F6E-92F7-47E7-B825-DEB3B94326E3}" uniqueName="7" name="COGS" queryTableFieldId="7" dataDxfId="29"/>
    <tableColumn id="8" xr3:uid="{5EFD6A62-FEEA-423F-A2C5-4D46AF9C95B8}" uniqueName="8" name="Volume 2022" queryTableFieldId="8" dataDxfId="27" totalsRowDxfId="28"/>
    <tableColumn id="9" xr3:uid="{7DF16575-1CE3-4688-BB70-45CE37A08A60}" uniqueName="9" name="Net Sales 2022" queryTableFieldId="9" dataDxfId="25" totalsRowDxfId="26"/>
    <tableColumn id="10" xr3:uid="{22ADAB0D-640E-4EA1-B260-19FE1000598E}" uniqueName="10" name="Gross Profit per unit" queryTableFieldId="10" dataDxfId="24">
      <calculatedColumnFormula>internal_sales_data6[[#This Row],[Net Price]]-internal_sales_data6[[#This Row],[COGS]]</calculatedColumnFormula>
    </tableColumn>
    <tableColumn id="11" xr3:uid="{28CDBD8A-F103-4F54-BF67-427E46EE0799}" uniqueName="11" name="Gross Profit per product" queryTableFieldId="11" dataDxfId="22" totalsRowDxfId="23">
      <calculatedColumnFormula>internal_sales_data6[[#This Row],[Gross Profit per unit]]*internal_sales_data6[[#This Row],[Volume 2022]]</calculatedColumnFormula>
    </tableColumn>
    <tableColumn id="12" xr3:uid="{4124FC43-E6FE-4451-B110-2DE854DAC514}" uniqueName="12" name="Gross Margin" queryTableFieldId="12" dataDxfId="20" totalsRowDxfId="21">
      <calculatedColumnFormula>internal_sales_data6[[#This Row],[Gross Profit per unit]]/internal_sales_data6[[#This Row],[Net Price]]</calculatedColumnFormula>
    </tableColumn>
    <tableColumn id="14" xr3:uid="{FD2533E6-D276-4A34-93BC-6041534EF0D0}" uniqueName="14" name="Price Per ml" queryTableFieldId="14" dataDxfId="19">
      <calculatedColumnFormula>internal_sales_data6[[#This Row],[Retail Price]]/internal_sales_data6[[#This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B8433F-31E7-4ED3-8F8C-EC332D7D1058}" name="internal_sales_data" displayName="internal_sales_data" ref="A1:M12" tableType="queryTable" totalsRowCount="1">
  <autoFilter ref="A1:M11" xr:uid="{56B8433F-31E7-4ED3-8F8C-EC332D7D1058}"/>
  <tableColumns count="13">
    <tableColumn id="1" xr3:uid="{F9D4C535-2FD1-449F-B417-54E606CFDF0E}" uniqueName="1" name="Brand" totalsRowLabel="Total" queryTableFieldId="1" dataDxfId="60"/>
    <tableColumn id="2" xr3:uid="{11BA5844-D0DA-449F-8673-54A8619775C9}" uniqueName="2" name="Product" queryTableFieldId="2" dataDxfId="59"/>
    <tableColumn id="3" xr3:uid="{7C9B6345-DF9C-471C-A6BD-EAC447DADF2B}" uniqueName="3" name="Pack Size (ml)" queryTableFieldId="3"/>
    <tableColumn id="4" xr3:uid="{B21A759C-947A-453C-B8D5-1AEECAE28270}" uniqueName="4" name="ProductID" queryTableFieldId="4" dataDxfId="58"/>
    <tableColumn id="5" xr3:uid="{6ADAA19A-9AB0-45CA-A738-2AC20EC18480}" uniqueName="5" name="Retail Price" queryTableFieldId="5" dataDxfId="57"/>
    <tableColumn id="6" xr3:uid="{0E8EF30F-D593-4E05-B9C9-331825B03A5D}" uniqueName="6" name="Net Price" queryTableFieldId="6" dataDxfId="56"/>
    <tableColumn id="7" xr3:uid="{DE16852C-7A67-4812-976D-6944B693EE55}" uniqueName="7" name="COGS" queryTableFieldId="7" dataDxfId="55"/>
    <tableColumn id="8" xr3:uid="{8DB21580-FFAA-4942-820A-A5352AE1F370}" uniqueName="8" name="Volume 2022" totalsRowFunction="sum" queryTableFieldId="8" dataDxfId="53" totalsRowDxfId="50"/>
    <tableColumn id="9" xr3:uid="{F2A49236-E70E-4761-AEB9-E60F1C5F504C}" uniqueName="9" name="Net Sales 2022" totalsRowFunction="sum" queryTableFieldId="9" dataDxfId="54" totalsRowDxfId="49"/>
    <tableColumn id="10" xr3:uid="{64323E6B-FC69-412B-A854-12CBE04741C9}" uniqueName="10" name="Gross Profit per unit" queryTableFieldId="10" dataDxfId="52">
      <calculatedColumnFormula>internal_sales_data[[#This Row],[Net Price]]-internal_sales_data[[#This Row],[COGS]]</calculatedColumnFormula>
    </tableColumn>
    <tableColumn id="11" xr3:uid="{EC490132-3ADA-4CB7-BF6F-9BF686D19D66}" uniqueName="11" name="Gross Profit per product" totalsRowFunction="sum" queryTableFieldId="11" dataDxfId="51" totalsRowDxfId="48">
      <calculatedColumnFormula>internal_sales_data[[#This Row],[Gross Profit per unit]]*internal_sales_data[[#This Row],[Volume 2022]]</calculatedColumnFormula>
    </tableColumn>
    <tableColumn id="12" xr3:uid="{6FA36DDC-701E-446B-A15C-3F431F11AA85}" uniqueName="12" name="Gross Margin" totalsRowFunction="custom" queryTableFieldId="12" dataDxfId="46" totalsRowDxfId="47">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9C0BA53C-58C4-4947-AC4B-2BB0BD4D2D53}" uniqueName="13" name="Net Sales Contribution" queryTableFieldId="13" dataDxfId="45">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9814-238C-4A75-801E-36E8160B31EE}">
  <dimension ref="A1:G8"/>
  <sheetViews>
    <sheetView workbookViewId="0">
      <selection activeCell="E14" sqref="E14"/>
    </sheetView>
  </sheetViews>
  <sheetFormatPr defaultRowHeight="13.8" x14ac:dyDescent="0.25"/>
  <cols>
    <col min="1" max="1" width="12.796875" customWidth="1"/>
    <col min="2" max="2" width="21.19921875" customWidth="1"/>
    <col min="3" max="3" width="30" customWidth="1"/>
    <col min="4" max="4" width="44.59765625" customWidth="1"/>
    <col min="5" max="5" width="44.3984375" customWidth="1"/>
    <col min="6" max="6" width="11.19921875" bestFit="1" customWidth="1"/>
    <col min="7" max="7" width="7.3984375" bestFit="1" customWidth="1"/>
  </cols>
  <sheetData>
    <row r="1" spans="1:7" x14ac:dyDescent="0.25">
      <c r="A1" t="s">
        <v>58</v>
      </c>
      <c r="B1" t="s">
        <v>120</v>
      </c>
      <c r="C1" t="s">
        <v>117</v>
      </c>
      <c r="D1" t="s">
        <v>118</v>
      </c>
      <c r="E1" t="s">
        <v>119</v>
      </c>
      <c r="F1" t="s">
        <v>102</v>
      </c>
      <c r="G1" t="s">
        <v>121</v>
      </c>
    </row>
    <row r="2" spans="1:7" x14ac:dyDescent="0.25">
      <c r="A2">
        <v>2018</v>
      </c>
      <c r="B2" s="12">
        <v>30685269</v>
      </c>
      <c r="F2" s="12"/>
      <c r="G2" s="12"/>
    </row>
    <row r="3" spans="1:7" x14ac:dyDescent="0.25">
      <c r="A3">
        <v>2019</v>
      </c>
      <c r="B3" s="12">
        <v>29261549</v>
      </c>
      <c r="F3" s="12"/>
      <c r="G3" s="12"/>
    </row>
    <row r="4" spans="1:7" x14ac:dyDescent="0.25">
      <c r="A4">
        <v>2020</v>
      </c>
      <c r="B4" s="12">
        <v>30370933</v>
      </c>
      <c r="F4" s="12"/>
      <c r="G4" s="12"/>
    </row>
    <row r="5" spans="1:7" x14ac:dyDescent="0.25">
      <c r="A5">
        <v>2021</v>
      </c>
      <c r="B5" s="12">
        <v>30710796</v>
      </c>
      <c r="F5" s="12"/>
      <c r="G5" s="12"/>
    </row>
    <row r="6" spans="1:7" x14ac:dyDescent="0.25">
      <c r="A6">
        <v>2022</v>
      </c>
      <c r="B6" s="12">
        <v>31442892</v>
      </c>
      <c r="C6" s="12">
        <v>31442892</v>
      </c>
      <c r="D6" s="12">
        <v>31442892</v>
      </c>
      <c r="E6" s="12">
        <v>31442892</v>
      </c>
      <c r="F6" s="12">
        <f>internal_sales_data[[#Totals],[Net Sales 2022]]</f>
        <v>20480714.900000002</v>
      </c>
      <c r="G6" s="13">
        <f>Table7[[#This Row],[Net Sales]]/B6</f>
        <v>0.65136231425531732</v>
      </c>
    </row>
    <row r="7" spans="1:7" x14ac:dyDescent="0.25">
      <c r="A7">
        <v>2023</v>
      </c>
      <c r="C7" s="12">
        <f>_xlfn.FORECAST.ETS(A7,$B$2:$B$6,$A$2:$A$6,1,1)</f>
        <v>31635324.071610071</v>
      </c>
      <c r="D7" s="12">
        <f>C7-_xlfn.FORECAST.ETS.CONFINT(A7,$B$2:$B$6,$A$2:$A$6,0.95,1,1)</f>
        <v>30014004.36554271</v>
      </c>
      <c r="E7" s="12">
        <f>C7+_xlfn.FORECAST.ETS.CONFINT(A7,$B$2:$B$6,$A$2:$A$6,0.95,1,1)</f>
        <v>33256643.777677432</v>
      </c>
      <c r="F7" s="12">
        <f>Table7[[#This Row],[Forecast(Sum of Values Month)]]*$G$6</f>
        <v>20606057.899500884</v>
      </c>
      <c r="G7" s="12"/>
    </row>
    <row r="8" spans="1:7" x14ac:dyDescent="0.25">
      <c r="A8">
        <v>2024</v>
      </c>
      <c r="C8" s="12">
        <f>_xlfn.FORECAST.ETS(A8,$B$2:$B$6,$A$2:$A$6,1,1)</f>
        <v>31946447.752088487</v>
      </c>
      <c r="D8" s="12">
        <f>C8-_xlfn.FORECAST.ETS.CONFINT(A8,$B$2:$B$6,$A$2:$A$6,0.95,1,1)</f>
        <v>30274835.684028216</v>
      </c>
      <c r="E8" s="12">
        <f>C8+_xlfn.FORECAST.ETS.CONFINT(A8,$B$2:$B$6,$A$2:$A$6,0.95,1,1)</f>
        <v>33618059.820148759</v>
      </c>
      <c r="F8" s="12">
        <f>Table7[[#This Row],[Forecast(Sum of Values Month)]]*$G$6</f>
        <v>20808712.140036937</v>
      </c>
      <c r="G8" s="12"/>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C22B-6028-4788-B074-9774C3FD0593}">
  <dimension ref="A1:E2"/>
  <sheetViews>
    <sheetView tabSelected="1" workbookViewId="0">
      <selection activeCell="F2" sqref="F2"/>
    </sheetView>
  </sheetViews>
  <sheetFormatPr defaultColWidth="21.3984375" defaultRowHeight="13.8" x14ac:dyDescent="0.25"/>
  <cols>
    <col min="1" max="1" width="21.296875" bestFit="1" customWidth="1"/>
    <col min="2" max="2" width="13.09765625" bestFit="1" customWidth="1"/>
    <col min="3" max="3" width="15.3984375" bestFit="1" customWidth="1"/>
    <col min="4" max="4" width="12.5" bestFit="1" customWidth="1"/>
    <col min="5" max="5" width="21.296875" bestFit="1" customWidth="1"/>
  </cols>
  <sheetData>
    <row r="1" spans="1:5" x14ac:dyDescent="0.25">
      <c r="A1" t="s">
        <v>122</v>
      </c>
      <c r="B1" t="s">
        <v>123</v>
      </c>
      <c r="C1" t="s">
        <v>124</v>
      </c>
      <c r="D1" t="s">
        <v>125</v>
      </c>
      <c r="E1" t="s">
        <v>126</v>
      </c>
    </row>
    <row r="2" spans="1:5" x14ac:dyDescent="0.25">
      <c r="A2" s="9">
        <f>'Forecast 2024'!F7</f>
        <v>20606057.899500884</v>
      </c>
      <c r="B2" s="9">
        <f>'Forecast 2024'!F8-'Forecast 2024'!F7</f>
        <v>202654.24053605273</v>
      </c>
      <c r="C2" s="9">
        <f>'Organic Shampoo Launch'!E3</f>
        <v>336896.60399999993</v>
      </c>
      <c r="D2" s="9">
        <f>'50ml Shampoo 2024'!I12</f>
        <v>265960.03999999998</v>
      </c>
      <c r="E2" s="12">
        <f>SUM(A2:D2)</f>
        <v>21411568.784036934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6685D-EE45-4801-8543-88EB883EC526}">
  <dimension ref="A1:B8"/>
  <sheetViews>
    <sheetView workbookViewId="0">
      <selection activeCell="A4" sqref="A3:B8"/>
    </sheetView>
  </sheetViews>
  <sheetFormatPr defaultRowHeight="13.8" x14ac:dyDescent="0.25"/>
  <cols>
    <col min="1" max="1" width="13.09765625" bestFit="1" customWidth="1"/>
    <col min="2" max="2" width="19.69921875" bestFit="1" customWidth="1"/>
    <col min="3" max="6" width="16.09765625" bestFit="1" customWidth="1"/>
    <col min="7" max="7" width="11" bestFit="1" customWidth="1"/>
  </cols>
  <sheetData>
    <row r="1" spans="1:2" x14ac:dyDescent="0.25">
      <c r="A1" s="2" t="s">
        <v>1</v>
      </c>
      <c r="B1" t="s">
        <v>21</v>
      </c>
    </row>
    <row r="3" spans="1:2" x14ac:dyDescent="0.25">
      <c r="A3" s="2" t="s">
        <v>58</v>
      </c>
      <c r="B3" t="s">
        <v>61</v>
      </c>
    </row>
    <row r="4" spans="1:2" x14ac:dyDescent="0.25">
      <c r="A4" s="3">
        <v>2018</v>
      </c>
      <c r="B4" s="12">
        <v>30685269</v>
      </c>
    </row>
    <row r="5" spans="1:2" x14ac:dyDescent="0.25">
      <c r="A5" s="3">
        <v>2019</v>
      </c>
      <c r="B5" s="12">
        <v>29261549</v>
      </c>
    </row>
    <row r="6" spans="1:2" x14ac:dyDescent="0.25">
      <c r="A6" s="3">
        <v>2020</v>
      </c>
      <c r="B6" s="12">
        <v>30370933</v>
      </c>
    </row>
    <row r="7" spans="1:2" x14ac:dyDescent="0.25">
      <c r="A7" s="3">
        <v>2021</v>
      </c>
      <c r="B7" s="12">
        <v>30710796</v>
      </c>
    </row>
    <row r="8" spans="1:2" x14ac:dyDescent="0.25">
      <c r="A8" s="3">
        <v>2022</v>
      </c>
      <c r="B8" s="12">
        <v>31442892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heetViews>
  <sheetFormatPr defaultRowHeight="13.8" x14ac:dyDescent="0.25"/>
  <cols>
    <col min="1" max="1" width="17.8984375" bestFit="1" customWidth="1"/>
    <col min="2" max="2" width="14.09765625" bestFit="1" customWidth="1"/>
    <col min="3" max="3" width="21.3984375" bestFit="1" customWidth="1"/>
    <col min="4" max="4" width="15.3984375" bestFit="1" customWidth="1"/>
    <col min="5" max="5" width="9.3984375" bestFit="1" customWidth="1"/>
    <col min="6" max="6" width="7.296875" bestFit="1" customWidth="1"/>
    <col min="7" max="7" width="9.296875" bestFit="1" customWidth="1"/>
    <col min="8" max="8" width="14.8984375" bestFit="1" customWidth="1"/>
    <col min="9" max="9" width="15.8984375" style="1" bestFit="1" customWidth="1"/>
    <col min="11" max="11" width="14.09765625" style="6" bestFit="1" customWidth="1"/>
    <col min="13" max="13" width="14" style="1" bestFit="1" customWidth="1"/>
  </cols>
  <sheetData>
    <row r="1" spans="1:13" x14ac:dyDescent="0.25">
      <c r="A1" t="s">
        <v>68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FCCDC-A09E-4589-A36B-FE1001C6258E}">
  <dimension ref="A1:J4"/>
  <sheetViews>
    <sheetView workbookViewId="0">
      <selection activeCell="J2" sqref="J2:J4"/>
    </sheetView>
  </sheetViews>
  <sheetFormatPr defaultRowHeight="13.8" x14ac:dyDescent="0.25"/>
  <cols>
    <col min="1" max="1" width="12.5" bestFit="1" customWidth="1"/>
    <col min="2" max="2" width="15.69921875" bestFit="1" customWidth="1"/>
    <col min="3" max="3" width="8.09765625" bestFit="1" customWidth="1"/>
    <col min="4" max="4" width="7" bestFit="1" customWidth="1"/>
    <col min="5" max="5" width="8.296875" bestFit="1" customWidth="1"/>
    <col min="6" max="6" width="13" bestFit="1" customWidth="1"/>
    <col min="7" max="7" width="16.19921875" bestFit="1" customWidth="1"/>
    <col min="8" max="8" width="8.3984375" bestFit="1" customWidth="1"/>
    <col min="9" max="9" width="10.8984375" bestFit="1" customWidth="1"/>
    <col min="10" max="10" width="8.3984375" bestFit="1" customWidth="1"/>
  </cols>
  <sheetData>
    <row r="1" spans="1:10" x14ac:dyDescent="0.25">
      <c r="A1" t="s">
        <v>107</v>
      </c>
      <c r="B1" t="s">
        <v>108</v>
      </c>
      <c r="C1" t="s">
        <v>2</v>
      </c>
      <c r="D1" t="s">
        <v>4</v>
      </c>
      <c r="E1" t="s">
        <v>5</v>
      </c>
      <c r="F1" t="s">
        <v>109</v>
      </c>
      <c r="G1" t="s">
        <v>110</v>
      </c>
      <c r="H1" t="s">
        <v>111</v>
      </c>
      <c r="I1" t="s">
        <v>112</v>
      </c>
      <c r="J1" t="s">
        <v>113</v>
      </c>
    </row>
    <row r="2" spans="1:10" x14ac:dyDescent="0.25">
      <c r="A2">
        <v>1</v>
      </c>
      <c r="B2" s="8" t="s">
        <v>114</v>
      </c>
      <c r="C2" s="8" t="s">
        <v>22</v>
      </c>
      <c r="D2">
        <v>2022</v>
      </c>
      <c r="E2">
        <v>4</v>
      </c>
      <c r="F2" s="10">
        <f>VLOOKUP(promotion_analysis[[#This Row],[Month]],'Promotion Graph'!$A$5:$B$16,2,FALSE)</f>
        <v>1445626</v>
      </c>
      <c r="G2" s="12">
        <f>AVERAGE('Promotion Graph'!$B$5:$B$7,'Promotion Graph'!$B$9:$B$11,'Promotion Graph'!$B$13:$B$14,GETPIVOTDATA("Values Month",'Promotion Graph'!$A$4,"Month",12))</f>
        <v>840835.5555555555</v>
      </c>
      <c r="H2" s="12">
        <f>promotion_analysis[[#This Row],[Value sales]]-promotion_analysis[[#This Row],[Baseline sales ]]</f>
        <v>604790.4444444445</v>
      </c>
      <c r="I2" s="12">
        <v>620000</v>
      </c>
      <c r="J2" s="7">
        <f>(promotion_analysis[[#This Row],[Uplift]]-promotion_analysis[[#This Row],[Costs]])/promotion_analysis[[#This Row],[Costs]]</f>
        <v>-2.453154121863791E-2</v>
      </c>
    </row>
    <row r="3" spans="1:10" x14ac:dyDescent="0.25">
      <c r="A3">
        <v>2</v>
      </c>
      <c r="B3" s="8" t="s">
        <v>115</v>
      </c>
      <c r="C3" s="8" t="s">
        <v>22</v>
      </c>
      <c r="D3">
        <v>2022</v>
      </c>
      <c r="E3">
        <v>8</v>
      </c>
      <c r="F3" s="10">
        <f>VLOOKUP(promotion_analysis[[#This Row],[Month]],'Promotion Graph'!$A$5:$B$16,2,FALSE)</f>
        <v>1198708</v>
      </c>
      <c r="G3" s="12">
        <f>AVERAGE('Promotion Graph'!$B$5:$B$7,'Promotion Graph'!$B$9:$B$11,'Promotion Graph'!$B$13:$B$14,GETPIVOTDATA("Values Month",'Promotion Graph'!$A$4,"Month",12))</f>
        <v>840835.5555555555</v>
      </c>
      <c r="H3" s="12">
        <f>promotion_analysis[[#This Row],[Value sales]]-promotion_analysis[[#This Row],[Baseline sales ]]</f>
        <v>357872.4444444445</v>
      </c>
      <c r="I3" s="12">
        <v>320000</v>
      </c>
      <c r="J3" s="7">
        <f>(promotion_analysis[[#This Row],[Uplift]]-promotion_analysis[[#This Row],[Costs]])/promotion_analysis[[#This Row],[Costs]]</f>
        <v>0.11835138888888905</v>
      </c>
    </row>
    <row r="4" spans="1:10" x14ac:dyDescent="0.25">
      <c r="A4">
        <v>3</v>
      </c>
      <c r="B4" s="8" t="s">
        <v>116</v>
      </c>
      <c r="C4" s="8" t="s">
        <v>22</v>
      </c>
      <c r="D4">
        <v>2022</v>
      </c>
      <c r="E4">
        <v>11</v>
      </c>
      <c r="F4" s="10">
        <f>VLOOKUP(promotion_analysis[[#This Row],[Month]],'Promotion Graph'!$A$5:$B$16,2,FALSE)</f>
        <v>1413646</v>
      </c>
      <c r="G4" s="12">
        <f>AVERAGE('Promotion Graph'!$B$5:$B$7,'Promotion Graph'!$B$9:$B$11,'Promotion Graph'!$B$13:$B$14,GETPIVOTDATA("Values Month",'Promotion Graph'!$A$4,"Month",12))</f>
        <v>840835.5555555555</v>
      </c>
      <c r="H4" s="12">
        <f>promotion_analysis[[#This Row],[Value sales]]-promotion_analysis[[#This Row],[Baseline sales ]]</f>
        <v>572810.4444444445</v>
      </c>
      <c r="I4" s="12">
        <v>540000</v>
      </c>
      <c r="J4" s="7">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E9C1-9236-4F80-899E-01B4BF0DF56D}">
  <dimension ref="A1:B17"/>
  <sheetViews>
    <sheetView workbookViewId="0"/>
  </sheetViews>
  <sheetFormatPr defaultRowHeight="13.8" x14ac:dyDescent="0.25"/>
  <cols>
    <col min="1" max="1" width="13.09765625" bestFit="1" customWidth="1"/>
    <col min="2" max="2" width="19.6992187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8688-A602-4514-9B57-899FE0AAA301}">
  <dimension ref="A1:I3"/>
  <sheetViews>
    <sheetView workbookViewId="0">
      <selection activeCell="I2" sqref="I2:I3"/>
    </sheetView>
  </sheetViews>
  <sheetFormatPr defaultRowHeight="13.8" x14ac:dyDescent="0.25"/>
  <cols>
    <col min="1" max="1" width="13.09765625" bestFit="1" customWidth="1"/>
    <col min="2" max="2" width="28.09765625" bestFit="1" customWidth="1"/>
    <col min="3" max="3" width="25.5" bestFit="1" customWidth="1"/>
    <col min="4" max="4" width="10.8984375" style="9" bestFit="1" customWidth="1"/>
    <col min="5" max="5" width="11.19921875" bestFit="1" customWidth="1"/>
    <col min="6" max="6" width="8.19921875" style="9" bestFit="1" customWidth="1"/>
    <col min="7" max="7" width="20.69921875" bestFit="1" customWidth="1"/>
    <col min="8" max="8" width="24.19921875" bestFit="1" customWidth="1"/>
    <col min="9" max="9" width="15.59765625" bestFit="1" customWidth="1"/>
  </cols>
  <sheetData>
    <row r="1" spans="1:9" x14ac:dyDescent="0.25">
      <c r="A1" t="s">
        <v>69</v>
      </c>
      <c r="B1" t="s">
        <v>100</v>
      </c>
      <c r="C1" t="s">
        <v>101</v>
      </c>
      <c r="D1" s="9" t="s">
        <v>73</v>
      </c>
      <c r="E1" t="s">
        <v>102</v>
      </c>
      <c r="F1" s="9" t="s">
        <v>74</v>
      </c>
      <c r="G1" t="s">
        <v>92</v>
      </c>
      <c r="H1" t="s">
        <v>93</v>
      </c>
      <c r="I1" t="s">
        <v>94</v>
      </c>
    </row>
    <row r="2" spans="1:9" x14ac:dyDescent="0.25">
      <c r="A2" s="8" t="s">
        <v>103</v>
      </c>
      <c r="B2" s="5">
        <v>0.1</v>
      </c>
      <c r="C2" s="10">
        <f>new_product_launch[[#This Row],[Estimated Unit Market Share]]*'New Category Opportunity'!$B$20</f>
        <v>102089.88</v>
      </c>
      <c r="D2" s="9">
        <v>3.5</v>
      </c>
      <c r="E2" s="12">
        <f>new_product_launch[[#This Row],[Net Price]]*new_product_launch[[#This Row],[Estimated units sold 2024]]</f>
        <v>357314.58</v>
      </c>
      <c r="F2" s="9">
        <v>1.35</v>
      </c>
      <c r="G2" s="9">
        <f>new_product_launch[[#This Row],[Net Price]]-new_product_launch[[#This Row],[COGS]]</f>
        <v>2.15</v>
      </c>
      <c r="H2" s="12">
        <f>new_product_launch[[#This Row],[Gross Profit per unit]]*new_product_launch[[#This Row],[Estimated units sold 2024]]</f>
        <v>219493.242</v>
      </c>
      <c r="I2" s="13">
        <f>new_product_launch[[#This Row],[Gross Profit per product]]/new_product_launch[[#This Row],[Net Sales]]</f>
        <v>0.61428571428571421</v>
      </c>
    </row>
    <row r="3" spans="1:9" x14ac:dyDescent="0.25">
      <c r="A3" s="8" t="s">
        <v>104</v>
      </c>
      <c r="B3" s="5">
        <v>0.12</v>
      </c>
      <c r="C3" s="10">
        <f>new_product_launch[[#This Row],[Estimated Unit Market Share]]*'New Category Opportunity'!$B$20</f>
        <v>122507.85599999999</v>
      </c>
      <c r="D3" s="9">
        <v>2.75</v>
      </c>
      <c r="E3" s="12">
        <f>new_product_launch[[#This Row],[Net Price]]*new_product_launch[[#This Row],[Estimated units sold 2024]]</f>
        <v>336896.60399999993</v>
      </c>
      <c r="F3" s="9">
        <v>0.9</v>
      </c>
      <c r="G3" s="9">
        <f>new_product_launch[[#This Row],[Net Price]]-new_product_launch[[#This Row],[COGS]]</f>
        <v>1.85</v>
      </c>
      <c r="H3" s="12">
        <f>new_product_launch[[#This Row],[Gross Profit per unit]]*new_product_launch[[#This Row],[Estimated units sold 2024]]</f>
        <v>226639.5336</v>
      </c>
      <c r="I3" s="13">
        <f>new_product_launch[[#This Row],[Gross Profit per product]]/new_product_launch[[#This Row],[Net Sales]]</f>
        <v>0.67272727272727284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7CF5-C0FE-49CC-9051-CAD49404DC58}">
  <dimension ref="A3:C20"/>
  <sheetViews>
    <sheetView workbookViewId="0">
      <selection activeCell="B23" sqref="B23"/>
    </sheetView>
  </sheetViews>
  <sheetFormatPr defaultRowHeight="13.8" x14ac:dyDescent="0.25"/>
  <cols>
    <col min="1" max="1" width="36.8984375" bestFit="1" customWidth="1"/>
    <col min="2" max="2" width="16.59765625" bestFit="1" customWidth="1"/>
    <col min="3" max="3" width="8" bestFit="1" customWidth="1"/>
    <col min="4" max="4" width="11" bestFit="1" customWidth="1"/>
    <col min="5" max="6" width="8.8984375" bestFit="1" customWidth="1"/>
    <col min="7" max="7" width="7.8984375" bestFit="1" customWidth="1"/>
    <col min="8" max="8" width="11" bestFit="1" customWidth="1"/>
  </cols>
  <sheetData>
    <row r="3" spans="1:3" x14ac:dyDescent="0.25">
      <c r="A3" s="2" t="s">
        <v>98</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4" spans="1:3" x14ac:dyDescent="0.25">
      <c r="A14" s="2" t="s">
        <v>4</v>
      </c>
      <c r="B14" s="3">
        <v>2023</v>
      </c>
    </row>
    <row r="15" spans="1:3" x14ac:dyDescent="0.25">
      <c r="A15" s="2" t="s">
        <v>5</v>
      </c>
      <c r="B15" s="3">
        <v>3</v>
      </c>
    </row>
    <row r="17" spans="1:2" x14ac:dyDescent="0.25">
      <c r="A17" s="2" t="s">
        <v>58</v>
      </c>
      <c r="B17" t="s">
        <v>97</v>
      </c>
    </row>
    <row r="18" spans="1:2" x14ac:dyDescent="0.25">
      <c r="A18" s="3" t="s">
        <v>30</v>
      </c>
      <c r="B18" s="8">
        <v>850749</v>
      </c>
    </row>
    <row r="20" spans="1:2" x14ac:dyDescent="0.25">
      <c r="A20" t="s">
        <v>99</v>
      </c>
      <c r="B20" s="10">
        <f>GETPIVOTDATA("Units MAT",$A$17,"Subcategory","Organic")*1.2</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0E06-F1D3-49DD-8653-083DE2B70D07}">
  <dimension ref="A3:K29"/>
  <sheetViews>
    <sheetView topLeftCell="A6" workbookViewId="0">
      <selection activeCell="A19" sqref="A19:K29"/>
    </sheetView>
  </sheetViews>
  <sheetFormatPr defaultRowHeight="13.8" x14ac:dyDescent="0.25"/>
  <cols>
    <col min="1" max="1" width="27.59765625" bestFit="1" customWidth="1"/>
    <col min="2" max="2" width="16.19921875" bestFit="1" customWidth="1"/>
    <col min="3" max="11" width="7" bestFit="1" customWidth="1"/>
    <col min="12" max="12" width="11" bestFit="1" customWidth="1"/>
  </cols>
  <sheetData>
    <row r="3" spans="1:11" x14ac:dyDescent="0.25">
      <c r="A3" s="2" t="s">
        <v>96</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86</v>
      </c>
      <c r="B5" s="7"/>
      <c r="C5" s="7"/>
      <c r="D5" s="7"/>
      <c r="E5" s="7">
        <v>0.18619281693140505</v>
      </c>
      <c r="F5" s="7"/>
      <c r="G5" s="7"/>
      <c r="H5" s="7"/>
      <c r="I5" s="7"/>
      <c r="J5" s="7"/>
      <c r="K5" s="7"/>
    </row>
    <row r="6" spans="1:11" x14ac:dyDescent="0.25">
      <c r="A6" s="3" t="s">
        <v>87</v>
      </c>
      <c r="B6" s="7"/>
      <c r="C6" s="7"/>
      <c r="D6" s="7"/>
      <c r="E6" s="7"/>
      <c r="F6" s="7"/>
      <c r="G6" s="7">
        <v>9.6896202583240873E-2</v>
      </c>
      <c r="H6" s="7"/>
      <c r="I6" s="7"/>
      <c r="J6" s="7"/>
      <c r="K6" s="7"/>
    </row>
    <row r="7" spans="1:11" x14ac:dyDescent="0.25">
      <c r="A7" s="3" t="s">
        <v>88</v>
      </c>
      <c r="B7" s="7"/>
      <c r="C7" s="7"/>
      <c r="D7" s="7"/>
      <c r="E7" s="7"/>
      <c r="F7" s="7"/>
      <c r="G7" s="7"/>
      <c r="H7" s="7"/>
      <c r="I7" s="7">
        <v>9.6896119578325834E-2</v>
      </c>
      <c r="J7" s="7"/>
      <c r="K7" s="7"/>
    </row>
    <row r="8" spans="1:11" x14ac:dyDescent="0.25">
      <c r="A8" s="3" t="s">
        <v>89</v>
      </c>
      <c r="B8" s="7"/>
      <c r="C8" s="7"/>
      <c r="D8" s="7"/>
      <c r="E8" s="7"/>
      <c r="F8" s="7"/>
      <c r="G8" s="7"/>
      <c r="H8" s="7"/>
      <c r="I8" s="7"/>
      <c r="J8" s="7"/>
      <c r="K8" s="7">
        <v>6.8397319470522966E-2</v>
      </c>
    </row>
    <row r="9" spans="1:11" x14ac:dyDescent="0.25">
      <c r="A9" s="3" t="s">
        <v>79</v>
      </c>
      <c r="B9" s="7"/>
      <c r="C9" s="7"/>
      <c r="D9" s="7"/>
      <c r="E9" s="7"/>
      <c r="F9" s="7">
        <v>9.8241009155398171E-2</v>
      </c>
      <c r="G9" s="7"/>
      <c r="H9" s="7"/>
      <c r="I9" s="7"/>
      <c r="J9" s="7"/>
      <c r="K9" s="7"/>
    </row>
    <row r="10" spans="1:11" x14ac:dyDescent="0.25">
      <c r="A10" s="3" t="s">
        <v>81</v>
      </c>
      <c r="B10" s="7">
        <v>4.7426625718030961E-2</v>
      </c>
      <c r="C10" s="7"/>
      <c r="D10" s="7"/>
      <c r="E10" s="7"/>
      <c r="F10" s="7"/>
      <c r="G10" s="7"/>
      <c r="H10" s="7"/>
      <c r="I10" s="7"/>
      <c r="J10" s="7"/>
      <c r="K10" s="7"/>
    </row>
    <row r="11" spans="1:11" x14ac:dyDescent="0.25">
      <c r="A11" s="3" t="s">
        <v>83</v>
      </c>
      <c r="B11" s="7"/>
      <c r="C11" s="7">
        <v>4.178071928534096E-2</v>
      </c>
      <c r="D11" s="7"/>
      <c r="E11" s="7"/>
      <c r="F11" s="7"/>
      <c r="G11" s="7"/>
      <c r="H11" s="7"/>
      <c r="I11" s="7"/>
      <c r="J11" s="7"/>
      <c r="K11" s="7"/>
    </row>
    <row r="12" spans="1:11" x14ac:dyDescent="0.25">
      <c r="A12" s="3" t="s">
        <v>77</v>
      </c>
      <c r="B12" s="7"/>
      <c r="C12" s="7"/>
      <c r="D12" s="7"/>
      <c r="E12" s="7"/>
      <c r="F12" s="7"/>
      <c r="G12" s="7"/>
      <c r="H12" s="7"/>
      <c r="I12" s="7"/>
      <c r="J12" s="7">
        <v>0.17502703482289086</v>
      </c>
      <c r="K12" s="7"/>
    </row>
    <row r="13" spans="1:11" x14ac:dyDescent="0.25">
      <c r="A13" s="3" t="s">
        <v>82</v>
      </c>
      <c r="B13" s="7"/>
      <c r="C13" s="7"/>
      <c r="D13" s="7">
        <v>0.11856673518754952</v>
      </c>
      <c r="E13" s="7"/>
      <c r="F13" s="7"/>
      <c r="G13" s="7"/>
      <c r="H13" s="7"/>
      <c r="I13" s="7"/>
      <c r="J13" s="7"/>
      <c r="K13" s="7"/>
    </row>
    <row r="14" spans="1:11" x14ac:dyDescent="0.25">
      <c r="A14" s="3" t="s">
        <v>84</v>
      </c>
      <c r="B14" s="7"/>
      <c r="C14" s="7"/>
      <c r="D14" s="7"/>
      <c r="E14" s="7"/>
      <c r="F14" s="7"/>
      <c r="G14" s="7"/>
      <c r="H14" s="7">
        <v>7.0575417267294702E-2</v>
      </c>
      <c r="I14" s="7"/>
      <c r="J14" s="7"/>
      <c r="K14" s="7"/>
    </row>
    <row r="19" spans="1:11" x14ac:dyDescent="0.25">
      <c r="A19" t="s">
        <v>58</v>
      </c>
      <c r="B19" s="7">
        <v>0.64285714285714279</v>
      </c>
      <c r="C19" s="7">
        <v>0.64864864864864868</v>
      </c>
      <c r="D19" s="7">
        <v>0.65714285714285714</v>
      </c>
      <c r="E19" s="7">
        <v>0.67142857142857149</v>
      </c>
      <c r="F19" s="7">
        <v>0.67241379310344829</v>
      </c>
      <c r="G19" s="7">
        <v>0.69411764705882362</v>
      </c>
      <c r="H19" s="7">
        <v>0.7</v>
      </c>
      <c r="I19" s="7">
        <v>0.70588235294117641</v>
      </c>
      <c r="J19" s="7">
        <v>0.70967741935483875</v>
      </c>
      <c r="K19" s="7">
        <v>0.71666666666666667</v>
      </c>
    </row>
    <row r="20" spans="1:11" x14ac:dyDescent="0.25">
      <c r="A20" t="s">
        <v>86</v>
      </c>
      <c r="B20" s="7"/>
      <c r="C20" s="7"/>
      <c r="D20" s="7"/>
      <c r="E20" s="7">
        <v>0.18619281693140505</v>
      </c>
      <c r="F20" s="7"/>
      <c r="G20" s="7"/>
      <c r="H20" s="7"/>
      <c r="I20" s="7"/>
      <c r="J20" s="7"/>
      <c r="K20" s="7"/>
    </row>
    <row r="21" spans="1:11" x14ac:dyDescent="0.25">
      <c r="A21" t="s">
        <v>87</v>
      </c>
      <c r="B21" s="7"/>
      <c r="C21" s="7"/>
      <c r="D21" s="7"/>
      <c r="E21" s="7"/>
      <c r="F21" s="7"/>
      <c r="G21" s="7">
        <v>9.6896202583240873E-2</v>
      </c>
      <c r="H21" s="7"/>
      <c r="I21" s="7"/>
      <c r="J21" s="7"/>
      <c r="K21" s="7"/>
    </row>
    <row r="22" spans="1:11" x14ac:dyDescent="0.25">
      <c r="A22" t="s">
        <v>88</v>
      </c>
      <c r="B22" s="7"/>
      <c r="C22" s="7"/>
      <c r="D22" s="7"/>
      <c r="E22" s="7"/>
      <c r="F22" s="7"/>
      <c r="G22" s="7"/>
      <c r="H22" s="7"/>
      <c r="I22" s="7">
        <v>9.6896119578325834E-2</v>
      </c>
      <c r="J22" s="7"/>
      <c r="K22" s="7"/>
    </row>
    <row r="23" spans="1:11" x14ac:dyDescent="0.25">
      <c r="A23" t="s">
        <v>89</v>
      </c>
      <c r="B23" s="7"/>
      <c r="C23" s="7"/>
      <c r="D23" s="7"/>
      <c r="E23" s="7"/>
      <c r="F23" s="7"/>
      <c r="G23" s="7"/>
      <c r="H23" s="7"/>
      <c r="I23" s="7"/>
      <c r="J23" s="7"/>
      <c r="K23" s="7">
        <v>6.8397319470522966E-2</v>
      </c>
    </row>
    <row r="24" spans="1:11" x14ac:dyDescent="0.25">
      <c r="A24" t="s">
        <v>79</v>
      </c>
      <c r="B24" s="7"/>
      <c r="C24" s="7"/>
      <c r="D24" s="7"/>
      <c r="E24" s="7"/>
      <c r="F24" s="7">
        <v>9.8241009155398171E-2</v>
      </c>
      <c r="G24" s="7"/>
      <c r="H24" s="7"/>
      <c r="I24" s="7"/>
      <c r="J24" s="7"/>
      <c r="K24" s="7"/>
    </row>
    <row r="25" spans="1:11" x14ac:dyDescent="0.25">
      <c r="A25" t="s">
        <v>81</v>
      </c>
      <c r="B25" s="7">
        <v>4.7426625718030961E-2</v>
      </c>
      <c r="C25" s="7"/>
      <c r="D25" s="7"/>
      <c r="E25" s="7"/>
      <c r="F25" s="7"/>
      <c r="G25" s="7"/>
      <c r="H25" s="7"/>
      <c r="I25" s="7"/>
      <c r="J25" s="7"/>
      <c r="K25" s="7"/>
    </row>
    <row r="26" spans="1:11" x14ac:dyDescent="0.25">
      <c r="A26" t="s">
        <v>83</v>
      </c>
      <c r="B26" s="7"/>
      <c r="C26" s="7">
        <v>4.178071928534096E-2</v>
      </c>
      <c r="D26" s="7"/>
      <c r="E26" s="7"/>
      <c r="F26" s="7"/>
      <c r="G26" s="7"/>
      <c r="H26" s="7"/>
      <c r="I26" s="7"/>
      <c r="J26" s="7"/>
      <c r="K26" s="7"/>
    </row>
    <row r="27" spans="1:11" x14ac:dyDescent="0.25">
      <c r="A27" t="s">
        <v>77</v>
      </c>
      <c r="B27" s="7"/>
      <c r="C27" s="7"/>
      <c r="D27" s="7"/>
      <c r="E27" s="7"/>
      <c r="F27" s="7"/>
      <c r="G27" s="7"/>
      <c r="H27" s="7"/>
      <c r="I27" s="7"/>
      <c r="J27" s="7">
        <v>0.17502703482289086</v>
      </c>
      <c r="K27" s="7"/>
    </row>
    <row r="28" spans="1:11" x14ac:dyDescent="0.25">
      <c r="A28" t="s">
        <v>82</v>
      </c>
      <c r="B28" s="7"/>
      <c r="C28" s="7"/>
      <c r="D28" s="7">
        <v>0.11856673518754952</v>
      </c>
      <c r="E28" s="7"/>
      <c r="F28" s="7"/>
      <c r="G28" s="7"/>
      <c r="H28" s="7"/>
      <c r="I28" s="7"/>
      <c r="J28" s="7"/>
      <c r="K28" s="7"/>
    </row>
    <row r="29" spans="1:11" x14ac:dyDescent="0.25">
      <c r="A29" t="s">
        <v>84</v>
      </c>
      <c r="B29" s="7"/>
      <c r="C29" s="7"/>
      <c r="D29" s="7"/>
      <c r="E29" s="7"/>
      <c r="F29" s="7"/>
      <c r="G29" s="7"/>
      <c r="H29" s="7">
        <v>7.0575417267294702E-2</v>
      </c>
      <c r="I29" s="7"/>
      <c r="J29" s="7"/>
      <c r="K29" s="7"/>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32A4-298E-44BB-80CA-7ACAEE37E1D2}">
  <dimension ref="A1:M12"/>
  <sheetViews>
    <sheetView workbookViewId="0">
      <selection activeCell="J16" sqref="J16"/>
    </sheetView>
  </sheetViews>
  <sheetFormatPr defaultRowHeight="13.8" x14ac:dyDescent="0.25"/>
  <cols>
    <col min="1" max="1" width="8.09765625" bestFit="1" customWidth="1"/>
    <col min="2" max="2" width="10" bestFit="1" customWidth="1"/>
    <col min="3" max="3" width="15.296875" bestFit="1" customWidth="1"/>
    <col min="4" max="4" width="22.796875" bestFit="1" customWidth="1"/>
    <col min="5" max="5" width="12.8984375" style="9" bestFit="1" customWidth="1"/>
    <col min="6" max="6" width="10.8984375" style="9" bestFit="1" customWidth="1"/>
    <col min="7" max="7" width="8.19921875" style="9" bestFit="1" customWidth="1"/>
    <col min="8" max="8" width="14.19921875" style="10" bestFit="1" customWidth="1"/>
    <col min="9" max="9" width="15.796875" bestFit="1" customWidth="1"/>
    <col min="10" max="10" width="20.69921875" bestFit="1" customWidth="1"/>
    <col min="11" max="11" width="24.19921875" bestFit="1" customWidth="1"/>
    <col min="12" max="12" width="14.5" bestFit="1" customWidth="1"/>
    <col min="13" max="13" width="13.59765625" bestFit="1" customWidth="1"/>
  </cols>
  <sheetData>
    <row r="1" spans="1:13" x14ac:dyDescent="0.25">
      <c r="A1" t="s">
        <v>2</v>
      </c>
      <c r="B1" t="s">
        <v>69</v>
      </c>
      <c r="C1" t="s">
        <v>70</v>
      </c>
      <c r="D1" t="s">
        <v>71</v>
      </c>
      <c r="E1" s="9" t="s">
        <v>72</v>
      </c>
      <c r="F1" s="9" t="s">
        <v>73</v>
      </c>
      <c r="G1" s="9" t="s">
        <v>74</v>
      </c>
      <c r="H1" s="10" t="s">
        <v>75</v>
      </c>
      <c r="I1" t="s">
        <v>91</v>
      </c>
      <c r="J1" t="s">
        <v>92</v>
      </c>
      <c r="K1" t="s">
        <v>93</v>
      </c>
      <c r="L1" t="s">
        <v>94</v>
      </c>
      <c r="M1" t="s">
        <v>105</v>
      </c>
    </row>
    <row r="2" spans="1:13" x14ac:dyDescent="0.25">
      <c r="A2" s="8" t="s">
        <v>57</v>
      </c>
      <c r="B2" s="8" t="s">
        <v>76</v>
      </c>
      <c r="C2">
        <v>100</v>
      </c>
      <c r="D2" s="8" t="s">
        <v>77</v>
      </c>
      <c r="E2" s="9">
        <v>5</v>
      </c>
      <c r="F2" s="9">
        <v>3.1</v>
      </c>
      <c r="G2" s="9">
        <v>0.9</v>
      </c>
      <c r="H2" s="10">
        <v>1156348</v>
      </c>
      <c r="I2" s="9">
        <f>internal_sales_data6[[#This Row],[Volume 2022]]*internal_sales_data6[[#This Row],[Net Price]]</f>
        <v>3584678.8000000003</v>
      </c>
      <c r="J2" s="9">
        <f>internal_sales_data6[[#This Row],[Net Price]]-internal_sales_data6[[#This Row],[COGS]]</f>
        <v>2.2000000000000002</v>
      </c>
      <c r="K2" s="9">
        <f>internal_sales_data6[[#This Row],[Gross Profit per unit]]*internal_sales_data6[[#This Row],[Volume 2022]]</f>
        <v>2543965.6</v>
      </c>
      <c r="L2" s="7">
        <f>internal_sales_data6[[#This Row],[Gross Profit per unit]]/internal_sales_data6[[#This Row],[Net Price]]</f>
        <v>0.70967741935483875</v>
      </c>
      <c r="M2" s="14">
        <f>internal_sales_data6[[#This Row],[Retail Price]]/internal_sales_data6[[#This Row],[Pack Size (ml)]]</f>
        <v>0.05</v>
      </c>
    </row>
    <row r="3" spans="1:13" x14ac:dyDescent="0.25">
      <c r="A3" s="8" t="s">
        <v>57</v>
      </c>
      <c r="B3" s="8" t="s">
        <v>78</v>
      </c>
      <c r="C3">
        <v>100</v>
      </c>
      <c r="D3" s="8" t="s">
        <v>79</v>
      </c>
      <c r="E3" s="9">
        <v>5</v>
      </c>
      <c r="F3" s="9">
        <v>2.9</v>
      </c>
      <c r="G3" s="9">
        <v>0.95</v>
      </c>
      <c r="H3" s="10">
        <v>693809</v>
      </c>
      <c r="I3" s="9">
        <f>internal_sales_data6[[#This Row],[Volume 2022]]*internal_sales_data6[[#This Row],[Net Price]]</f>
        <v>2012046.0999999999</v>
      </c>
      <c r="J3" s="9">
        <f>internal_sales_data6[[#This Row],[Net Price]]-internal_sales_data6[[#This Row],[COGS]]</f>
        <v>1.95</v>
      </c>
      <c r="K3" s="9">
        <f>internal_sales_data6[[#This Row],[Gross Profit per unit]]*internal_sales_data6[[#This Row],[Volume 2022]]</f>
        <v>1352927.55</v>
      </c>
      <c r="L3" s="7">
        <f>internal_sales_data6[[#This Row],[Gross Profit per unit]]/internal_sales_data6[[#This Row],[Net Price]]</f>
        <v>0.67241379310344829</v>
      </c>
      <c r="M3" s="14">
        <f>internal_sales_data6[[#This Row],[Retail Price]]/internal_sales_data6[[#This Row],[Pack Size (ml)]]</f>
        <v>0.05</v>
      </c>
    </row>
    <row r="4" spans="1:13" x14ac:dyDescent="0.25">
      <c r="A4" s="8" t="s">
        <v>57</v>
      </c>
      <c r="B4" s="8" t="s">
        <v>80</v>
      </c>
      <c r="C4">
        <v>100</v>
      </c>
      <c r="D4" s="8" t="s">
        <v>81</v>
      </c>
      <c r="E4" s="9">
        <v>5</v>
      </c>
      <c r="F4" s="9">
        <v>2.8</v>
      </c>
      <c r="G4" s="9">
        <v>1</v>
      </c>
      <c r="H4" s="10">
        <v>346904</v>
      </c>
      <c r="I4" s="9">
        <f>internal_sales_data6[[#This Row],[Volume 2022]]*internal_sales_data6[[#This Row],[Net Price]]</f>
        <v>971331.2</v>
      </c>
      <c r="J4" s="9">
        <f>internal_sales_data6[[#This Row],[Net Price]]-internal_sales_data6[[#This Row],[COGS]]</f>
        <v>1.7999999999999998</v>
      </c>
      <c r="K4" s="9">
        <f>internal_sales_data6[[#This Row],[Gross Profit per unit]]*internal_sales_data6[[#This Row],[Volume 2022]]</f>
        <v>624427.19999999995</v>
      </c>
      <c r="L4" s="7">
        <f>internal_sales_data6[[#This Row],[Gross Profit per unit]]/internal_sales_data6[[#This Row],[Net Price]]</f>
        <v>0.64285714285714279</v>
      </c>
      <c r="M4" s="14">
        <f>internal_sales_data6[[#This Row],[Retail Price]]/internal_sales_data6[[#This Row],[Pack Size (ml)]]</f>
        <v>0.05</v>
      </c>
    </row>
    <row r="5" spans="1:13" x14ac:dyDescent="0.25">
      <c r="A5" s="8" t="s">
        <v>57</v>
      </c>
      <c r="B5" s="8" t="s">
        <v>76</v>
      </c>
      <c r="C5">
        <v>150</v>
      </c>
      <c r="D5" s="8" t="s">
        <v>82</v>
      </c>
      <c r="E5" s="9">
        <v>7</v>
      </c>
      <c r="F5" s="9">
        <v>3.5</v>
      </c>
      <c r="G5" s="9">
        <v>1.2</v>
      </c>
      <c r="H5" s="10">
        <v>693809</v>
      </c>
      <c r="I5" s="9">
        <f>internal_sales_data6[[#This Row],[Volume 2022]]*internal_sales_data6[[#This Row],[Net Price]]</f>
        <v>2428331.5</v>
      </c>
      <c r="J5" s="9">
        <f>internal_sales_data6[[#This Row],[Net Price]]-internal_sales_data6[[#This Row],[COGS]]</f>
        <v>2.2999999999999998</v>
      </c>
      <c r="K5" s="9">
        <f>internal_sales_data6[[#This Row],[Gross Profit per unit]]*internal_sales_data6[[#This Row],[Volume 2022]]</f>
        <v>1595760.7</v>
      </c>
      <c r="L5" s="7">
        <f>internal_sales_data6[[#This Row],[Gross Profit per unit]]/internal_sales_data6[[#This Row],[Net Price]]</f>
        <v>0.65714285714285714</v>
      </c>
      <c r="M5" s="14">
        <f>internal_sales_data6[[#This Row],[Retail Price]]/internal_sales_data6[[#This Row],[Pack Size (ml)]]</f>
        <v>4.6666666666666669E-2</v>
      </c>
    </row>
    <row r="6" spans="1:13" x14ac:dyDescent="0.25">
      <c r="A6" s="8" t="s">
        <v>57</v>
      </c>
      <c r="B6" s="8" t="s">
        <v>80</v>
      </c>
      <c r="C6">
        <v>150</v>
      </c>
      <c r="D6" s="8" t="s">
        <v>83</v>
      </c>
      <c r="E6" s="9">
        <v>7.25</v>
      </c>
      <c r="F6" s="9">
        <v>3.7</v>
      </c>
      <c r="G6" s="9">
        <v>1.3</v>
      </c>
      <c r="H6" s="10">
        <v>231270</v>
      </c>
      <c r="I6" s="9">
        <f>internal_sales_data6[[#This Row],[Volume 2022]]*internal_sales_data6[[#This Row],[Net Price]]</f>
        <v>855699</v>
      </c>
      <c r="J6" s="9">
        <f>internal_sales_data6[[#This Row],[Net Price]]-internal_sales_data6[[#This Row],[COGS]]</f>
        <v>2.4000000000000004</v>
      </c>
      <c r="K6" s="9">
        <f>internal_sales_data6[[#This Row],[Gross Profit per unit]]*internal_sales_data6[[#This Row],[Volume 2022]]</f>
        <v>555048.00000000012</v>
      </c>
      <c r="L6" s="7">
        <f>internal_sales_data6[[#This Row],[Gross Profit per unit]]/internal_sales_data6[[#This Row],[Net Price]]</f>
        <v>0.64864864864864868</v>
      </c>
      <c r="M6" s="14">
        <f>internal_sales_data6[[#This Row],[Retail Price]]/internal_sales_data6[[#This Row],[Pack Size (ml)]]</f>
        <v>4.8333333333333332E-2</v>
      </c>
    </row>
    <row r="7" spans="1:13" x14ac:dyDescent="0.25">
      <c r="A7" s="8" t="s">
        <v>57</v>
      </c>
      <c r="B7" s="8" t="s">
        <v>76</v>
      </c>
      <c r="C7">
        <v>200</v>
      </c>
      <c r="D7" s="8" t="s">
        <v>84</v>
      </c>
      <c r="E7" s="9">
        <v>9</v>
      </c>
      <c r="F7" s="9">
        <v>5</v>
      </c>
      <c r="G7" s="9">
        <v>1.5</v>
      </c>
      <c r="H7" s="10">
        <v>289087</v>
      </c>
      <c r="I7" s="9">
        <f>internal_sales_data6[[#This Row],[Volume 2022]]*internal_sales_data6[[#This Row],[Net Price]]</f>
        <v>1445435</v>
      </c>
      <c r="J7" s="9">
        <f>internal_sales_data6[[#This Row],[Net Price]]-internal_sales_data6[[#This Row],[COGS]]</f>
        <v>3.5</v>
      </c>
      <c r="K7" s="9">
        <f>internal_sales_data6[[#This Row],[Gross Profit per unit]]*internal_sales_data6[[#This Row],[Volume 2022]]</f>
        <v>1011804.5</v>
      </c>
      <c r="L7" s="7">
        <f>internal_sales_data6[[#This Row],[Gross Profit per unit]]/internal_sales_data6[[#This Row],[Net Price]]</f>
        <v>0.7</v>
      </c>
      <c r="M7" s="14">
        <f>internal_sales_data6[[#This Row],[Retail Price]]/internal_sales_data6[[#This Row],[Pack Size (ml)]]</f>
        <v>4.4999999999999998E-2</v>
      </c>
    </row>
    <row r="8" spans="1:13" x14ac:dyDescent="0.25">
      <c r="A8" s="8" t="s">
        <v>22</v>
      </c>
      <c r="B8" s="8" t="s">
        <v>85</v>
      </c>
      <c r="C8">
        <v>100</v>
      </c>
      <c r="D8" s="8" t="s">
        <v>86</v>
      </c>
      <c r="E8" s="9">
        <v>6</v>
      </c>
      <c r="F8" s="9">
        <v>3.5</v>
      </c>
      <c r="G8" s="9">
        <v>1.1499999999999999</v>
      </c>
      <c r="H8" s="10">
        <v>1089532</v>
      </c>
      <c r="I8" s="9">
        <f>internal_sales_data6[[#This Row],[Volume 2022]]*internal_sales_data6[[#This Row],[Net Price]]</f>
        <v>3813362</v>
      </c>
      <c r="J8" s="9">
        <f>internal_sales_data6[[#This Row],[Net Price]]-internal_sales_data6[[#This Row],[COGS]]</f>
        <v>2.35</v>
      </c>
      <c r="K8" s="9">
        <f>internal_sales_data6[[#This Row],[Gross Profit per unit]]*internal_sales_data6[[#This Row],[Volume 2022]]</f>
        <v>2560400.2000000002</v>
      </c>
      <c r="L8" s="7">
        <f>internal_sales_data6[[#This Row],[Gross Profit per unit]]/internal_sales_data6[[#This Row],[Net Price]]</f>
        <v>0.67142857142857149</v>
      </c>
      <c r="M8" s="14">
        <f>internal_sales_data6[[#This Row],[Retail Price]]/internal_sales_data6[[#This Row],[Pack Size (ml)]]</f>
        <v>0.06</v>
      </c>
    </row>
    <row r="9" spans="1:13" x14ac:dyDescent="0.25">
      <c r="A9" s="8" t="s">
        <v>22</v>
      </c>
      <c r="B9" s="8" t="s">
        <v>85</v>
      </c>
      <c r="C9">
        <v>125</v>
      </c>
      <c r="D9" s="8" t="s">
        <v>87</v>
      </c>
      <c r="E9" s="9">
        <v>7</v>
      </c>
      <c r="F9" s="9">
        <v>4.25</v>
      </c>
      <c r="G9" s="9">
        <v>1.3</v>
      </c>
      <c r="H9" s="10">
        <v>466942</v>
      </c>
      <c r="I9" s="9">
        <f>internal_sales_data6[[#This Row],[Volume 2022]]*internal_sales_data6[[#This Row],[Net Price]]</f>
        <v>1984503.5</v>
      </c>
      <c r="J9" s="9">
        <f>internal_sales_data6[[#This Row],[Net Price]]-internal_sales_data6[[#This Row],[COGS]]</f>
        <v>2.95</v>
      </c>
      <c r="K9" s="9">
        <f>internal_sales_data6[[#This Row],[Gross Profit per unit]]*internal_sales_data6[[#This Row],[Volume 2022]]</f>
        <v>1377478.9000000001</v>
      </c>
      <c r="L9" s="7">
        <f>internal_sales_data6[[#This Row],[Gross Profit per unit]]/internal_sales_data6[[#This Row],[Net Price]]</f>
        <v>0.69411764705882362</v>
      </c>
      <c r="M9" s="14">
        <f>internal_sales_data6[[#This Row],[Retail Price]]/internal_sales_data6[[#This Row],[Pack Size (ml)]]</f>
        <v>5.6000000000000001E-2</v>
      </c>
    </row>
    <row r="10" spans="1:13" x14ac:dyDescent="0.25">
      <c r="A10" s="8" t="s">
        <v>22</v>
      </c>
      <c r="B10" s="8" t="s">
        <v>85</v>
      </c>
      <c r="C10">
        <v>150</v>
      </c>
      <c r="D10" s="8" t="s">
        <v>88</v>
      </c>
      <c r="E10" s="9">
        <v>8</v>
      </c>
      <c r="F10" s="9">
        <v>5.0999999999999996</v>
      </c>
      <c r="G10" s="9">
        <v>1.5</v>
      </c>
      <c r="H10" s="10">
        <v>389118</v>
      </c>
      <c r="I10" s="9">
        <f>internal_sales_data6[[#This Row],[Volume 2022]]*internal_sales_data6[[#This Row],[Net Price]]</f>
        <v>1984501.7999999998</v>
      </c>
      <c r="J10" s="9">
        <f>internal_sales_data6[[#This Row],[Net Price]]-internal_sales_data6[[#This Row],[COGS]]</f>
        <v>3.5999999999999996</v>
      </c>
      <c r="K10" s="9">
        <f>internal_sales_data6[[#This Row],[Gross Profit per unit]]*internal_sales_data6[[#This Row],[Volume 2022]]</f>
        <v>1400824.7999999998</v>
      </c>
      <c r="L10" s="7">
        <f>internal_sales_data6[[#This Row],[Gross Profit per unit]]/internal_sales_data6[[#This Row],[Net Price]]</f>
        <v>0.70588235294117641</v>
      </c>
      <c r="M10" s="14">
        <f>internal_sales_data6[[#This Row],[Retail Price]]/internal_sales_data6[[#This Row],[Pack Size (ml)]]</f>
        <v>5.3333333333333337E-2</v>
      </c>
    </row>
    <row r="11" spans="1:13" x14ac:dyDescent="0.25">
      <c r="A11" s="8" t="s">
        <v>22</v>
      </c>
      <c r="B11" s="8" t="s">
        <v>85</v>
      </c>
      <c r="C11">
        <v>200</v>
      </c>
      <c r="D11" s="8" t="s">
        <v>89</v>
      </c>
      <c r="E11" s="9">
        <v>10</v>
      </c>
      <c r="F11" s="9">
        <v>6</v>
      </c>
      <c r="G11" s="9">
        <v>1.7</v>
      </c>
      <c r="H11" s="10">
        <v>233471</v>
      </c>
      <c r="I11" s="9">
        <f>internal_sales_data6[[#This Row],[Volume 2022]]*internal_sales_data6[[#This Row],[Net Price]]</f>
        <v>1400826</v>
      </c>
      <c r="J11" s="9">
        <f>internal_sales_data6[[#This Row],[Net Price]]-internal_sales_data6[[#This Row],[COGS]]</f>
        <v>4.3</v>
      </c>
      <c r="K11" s="9">
        <f>internal_sales_data6[[#This Row],[Gross Profit per unit]]*internal_sales_data6[[#This Row],[Volume 2022]]</f>
        <v>1003925.2999999999</v>
      </c>
      <c r="L11" s="7">
        <f>internal_sales_data6[[#This Row],[Gross Profit per unit]]/internal_sales_data6[[#This Row],[Net Price]]</f>
        <v>0.71666666666666667</v>
      </c>
      <c r="M11" s="14">
        <f>internal_sales_data6[[#This Row],[Retail Price]]/internal_sales_data6[[#This Row],[Pack Size (ml)]]</f>
        <v>0.05</v>
      </c>
    </row>
    <row r="12" spans="1:13" x14ac:dyDescent="0.25">
      <c r="A12" s="8" t="s">
        <v>57</v>
      </c>
      <c r="B12" s="8" t="s">
        <v>76</v>
      </c>
      <c r="C12">
        <v>50</v>
      </c>
      <c r="D12" s="8" t="s">
        <v>106</v>
      </c>
      <c r="E12" s="9">
        <f>internal_sales_data6[[#This Row],[Pack Size (ml)]]*M2*(1+50%)</f>
        <v>3.75</v>
      </c>
      <c r="F12" s="9">
        <v>2.2999999999999998</v>
      </c>
      <c r="G12" s="9">
        <v>0.7</v>
      </c>
      <c r="H12" s="10">
        <f>H2*0.1</f>
        <v>115634.8</v>
      </c>
      <c r="I12" s="9">
        <f>internal_sales_data6[[#This Row],[Volume 2022]]*internal_sales_data6[[#This Row],[Net Price]]</f>
        <v>265960.03999999998</v>
      </c>
      <c r="J12" s="9">
        <f>internal_sales_data6[[#This Row],[Net Price]]-internal_sales_data6[[#This Row],[COGS]]</f>
        <v>1.5999999999999999</v>
      </c>
      <c r="K12" s="9">
        <f>internal_sales_data6[[#This Row],[Gross Profit per unit]]*internal_sales_data6[[#This Row],[Volume 2022]]</f>
        <v>185015.67999999999</v>
      </c>
      <c r="L12" s="7">
        <f>internal_sales_data6[[#This Row],[Gross Profit per unit]]/internal_sales_data6[[#This Row],[Net Price]]</f>
        <v>0.69565217391304346</v>
      </c>
      <c r="M12" s="14">
        <f>internal_sales_data6[[#This Row],[Retail Price]]/internal_sales_data6[[#This Row],[Pack Size (ml)]]</f>
        <v>7.4999999999999997E-2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6700-CA2F-452E-9E03-59E7C8383796}">
  <dimension ref="A1:M12"/>
  <sheetViews>
    <sheetView workbookViewId="0">
      <selection activeCell="A2" sqref="A2"/>
    </sheetView>
  </sheetViews>
  <sheetFormatPr defaultRowHeight="13.8" x14ac:dyDescent="0.25"/>
  <cols>
    <col min="1" max="1" width="8.09765625" bestFit="1" customWidth="1"/>
    <col min="2" max="2" width="10" bestFit="1" customWidth="1"/>
    <col min="3" max="3" width="15.296875" bestFit="1" customWidth="1"/>
    <col min="4" max="4" width="22.796875" bestFit="1" customWidth="1"/>
    <col min="5" max="5" width="12.8984375" style="9" bestFit="1" customWidth="1"/>
    <col min="6" max="6" width="10.8984375" style="9" bestFit="1" customWidth="1"/>
    <col min="7" max="7" width="8.19921875" style="9" bestFit="1" customWidth="1"/>
    <col min="8" max="8" width="14.19921875" style="10" bestFit="1" customWidth="1"/>
    <col min="9" max="9" width="15.796875" bestFit="1" customWidth="1"/>
    <col min="10" max="10" width="20.69921875" bestFit="1" customWidth="1"/>
    <col min="11" max="11" width="24.19921875" bestFit="1" customWidth="1"/>
    <col min="12" max="12" width="14.5" bestFit="1" customWidth="1"/>
    <col min="13" max="13" width="22.69921875" bestFit="1" customWidth="1"/>
  </cols>
  <sheetData>
    <row r="1" spans="1:13" x14ac:dyDescent="0.25">
      <c r="A1" t="s">
        <v>2</v>
      </c>
      <c r="B1" t="s">
        <v>69</v>
      </c>
      <c r="C1" t="s">
        <v>70</v>
      </c>
      <c r="D1" t="s">
        <v>71</v>
      </c>
      <c r="E1" s="9" t="s">
        <v>72</v>
      </c>
      <c r="F1" s="9" t="s">
        <v>73</v>
      </c>
      <c r="G1" s="9" t="s">
        <v>74</v>
      </c>
      <c r="H1" s="10" t="s">
        <v>75</v>
      </c>
      <c r="I1" t="s">
        <v>91</v>
      </c>
      <c r="J1" t="s">
        <v>92</v>
      </c>
      <c r="K1" t="s">
        <v>93</v>
      </c>
      <c r="L1" t="s">
        <v>94</v>
      </c>
      <c r="M1" t="s">
        <v>95</v>
      </c>
    </row>
    <row r="2" spans="1:13" x14ac:dyDescent="0.25">
      <c r="A2" s="8" t="s">
        <v>57</v>
      </c>
      <c r="B2" s="8" t="s">
        <v>76</v>
      </c>
      <c r="C2">
        <v>100</v>
      </c>
      <c r="D2" s="8" t="s">
        <v>77</v>
      </c>
      <c r="E2" s="9">
        <v>5</v>
      </c>
      <c r="F2" s="9">
        <v>3.1</v>
      </c>
      <c r="G2" s="9">
        <v>0.9</v>
      </c>
      <c r="H2" s="10">
        <v>1156348</v>
      </c>
      <c r="I2" s="9">
        <f>internal_sales_data[[#This Row],[Volume 2022]]*internal_sales_data[[#This Row],[Net Price]]</f>
        <v>3584678.8000000003</v>
      </c>
      <c r="J2" s="9">
        <f>internal_sales_data[[#This Row],[Net Price]]-internal_sales_data[[#This Row],[COGS]]</f>
        <v>2.2000000000000002</v>
      </c>
      <c r="K2" s="9">
        <f>internal_sales_data[[#This Row],[Gross Profit per unit]]*internal_sales_data[[#This Row],[Volume 2022]]</f>
        <v>2543965.6</v>
      </c>
      <c r="L2" s="7">
        <f>internal_sales_data[[#This Row],[Gross Profit per unit]]/internal_sales_data[[#This Row],[Net Price]]</f>
        <v>0.70967741935483875</v>
      </c>
      <c r="M2" s="7">
        <f>internal_sales_data[[#This Row],[Net Sales 2022]]/internal_sales_data[[#Totals],[Net Sales 2022]]</f>
        <v>0.17502703482289086</v>
      </c>
    </row>
    <row r="3" spans="1:13" x14ac:dyDescent="0.25">
      <c r="A3" s="8" t="s">
        <v>57</v>
      </c>
      <c r="B3" s="8" t="s">
        <v>78</v>
      </c>
      <c r="C3">
        <v>100</v>
      </c>
      <c r="D3" s="8" t="s">
        <v>79</v>
      </c>
      <c r="E3" s="9">
        <v>5</v>
      </c>
      <c r="F3" s="9">
        <v>2.9</v>
      </c>
      <c r="G3" s="9">
        <v>0.95</v>
      </c>
      <c r="H3" s="10">
        <v>693809</v>
      </c>
      <c r="I3" s="9">
        <f>internal_sales_data[[#This Row],[Volume 2022]]*internal_sales_data[[#This Row],[Net Price]]</f>
        <v>2012046.0999999999</v>
      </c>
      <c r="J3" s="9">
        <f>internal_sales_data[[#This Row],[Net Price]]-internal_sales_data[[#This Row],[COGS]]</f>
        <v>1.95</v>
      </c>
      <c r="K3" s="9">
        <f>internal_sales_data[[#This Row],[Gross Profit per unit]]*internal_sales_data[[#This Row],[Volume 2022]]</f>
        <v>1352927.55</v>
      </c>
      <c r="L3" s="7">
        <f>internal_sales_data[[#This Row],[Gross Profit per unit]]/internal_sales_data[[#This Row],[Net Price]]</f>
        <v>0.67241379310344829</v>
      </c>
      <c r="M3" s="7">
        <f>internal_sales_data[[#This Row],[Net Sales 2022]]/internal_sales_data[[#Totals],[Net Sales 2022]]</f>
        <v>9.8241009155398171E-2</v>
      </c>
    </row>
    <row r="4" spans="1:13" x14ac:dyDescent="0.25">
      <c r="A4" s="8" t="s">
        <v>57</v>
      </c>
      <c r="B4" s="8" t="s">
        <v>80</v>
      </c>
      <c r="C4">
        <v>100</v>
      </c>
      <c r="D4" s="8" t="s">
        <v>81</v>
      </c>
      <c r="E4" s="9">
        <v>5</v>
      </c>
      <c r="F4" s="9">
        <v>2.8</v>
      </c>
      <c r="G4" s="9">
        <v>1</v>
      </c>
      <c r="H4" s="10">
        <v>346904</v>
      </c>
      <c r="I4" s="9">
        <f>internal_sales_data[[#This Row],[Volume 2022]]*internal_sales_data[[#This Row],[Net Price]]</f>
        <v>971331.2</v>
      </c>
      <c r="J4" s="9">
        <f>internal_sales_data[[#This Row],[Net Price]]-internal_sales_data[[#This Row],[COGS]]</f>
        <v>1.7999999999999998</v>
      </c>
      <c r="K4" s="9">
        <f>internal_sales_data[[#This Row],[Gross Profit per unit]]*internal_sales_data[[#This Row],[Volume 2022]]</f>
        <v>624427.19999999995</v>
      </c>
      <c r="L4" s="7">
        <f>internal_sales_data[[#This Row],[Gross Profit per unit]]/internal_sales_data[[#This Row],[Net Price]]</f>
        <v>0.64285714285714279</v>
      </c>
      <c r="M4" s="7">
        <f>internal_sales_data[[#This Row],[Net Sales 2022]]/internal_sales_data[[#Totals],[Net Sales 2022]]</f>
        <v>4.7426625718030961E-2</v>
      </c>
    </row>
    <row r="5" spans="1:13" x14ac:dyDescent="0.25">
      <c r="A5" s="8" t="s">
        <v>57</v>
      </c>
      <c r="B5" s="8" t="s">
        <v>76</v>
      </c>
      <c r="C5">
        <v>150</v>
      </c>
      <c r="D5" s="8" t="s">
        <v>82</v>
      </c>
      <c r="E5" s="9">
        <v>7</v>
      </c>
      <c r="F5" s="9">
        <v>3.5</v>
      </c>
      <c r="G5" s="9">
        <v>1.2</v>
      </c>
      <c r="H5" s="10">
        <v>693809</v>
      </c>
      <c r="I5" s="9">
        <f>internal_sales_data[[#This Row],[Volume 2022]]*internal_sales_data[[#This Row],[Net Price]]</f>
        <v>2428331.5</v>
      </c>
      <c r="J5" s="9">
        <f>internal_sales_data[[#This Row],[Net Price]]-internal_sales_data[[#This Row],[COGS]]</f>
        <v>2.2999999999999998</v>
      </c>
      <c r="K5" s="9">
        <f>internal_sales_data[[#This Row],[Gross Profit per unit]]*internal_sales_data[[#This Row],[Volume 2022]]</f>
        <v>1595760.7</v>
      </c>
      <c r="L5" s="7">
        <f>internal_sales_data[[#This Row],[Gross Profit per unit]]/internal_sales_data[[#This Row],[Net Price]]</f>
        <v>0.65714285714285714</v>
      </c>
      <c r="M5" s="7">
        <f>internal_sales_data[[#This Row],[Net Sales 2022]]/internal_sales_data[[#Totals],[Net Sales 2022]]</f>
        <v>0.11856673518754952</v>
      </c>
    </row>
    <row r="6" spans="1:13" x14ac:dyDescent="0.25">
      <c r="A6" s="8" t="s">
        <v>57</v>
      </c>
      <c r="B6" s="8" t="s">
        <v>80</v>
      </c>
      <c r="C6">
        <v>150</v>
      </c>
      <c r="D6" s="8" t="s">
        <v>83</v>
      </c>
      <c r="E6" s="9">
        <v>7.25</v>
      </c>
      <c r="F6" s="9">
        <v>3.7</v>
      </c>
      <c r="G6" s="9">
        <v>1.3</v>
      </c>
      <c r="H6" s="10">
        <v>231270</v>
      </c>
      <c r="I6" s="9">
        <f>internal_sales_data[[#This Row],[Volume 2022]]*internal_sales_data[[#This Row],[Net Price]]</f>
        <v>855699</v>
      </c>
      <c r="J6" s="9">
        <f>internal_sales_data[[#This Row],[Net Price]]-internal_sales_data[[#This Row],[COGS]]</f>
        <v>2.4000000000000004</v>
      </c>
      <c r="K6" s="9">
        <f>internal_sales_data[[#This Row],[Gross Profit per unit]]*internal_sales_data[[#This Row],[Volume 2022]]</f>
        <v>555048.00000000012</v>
      </c>
      <c r="L6" s="7">
        <f>internal_sales_data[[#This Row],[Gross Profit per unit]]/internal_sales_data[[#This Row],[Net Price]]</f>
        <v>0.64864864864864868</v>
      </c>
      <c r="M6" s="7">
        <f>internal_sales_data[[#This Row],[Net Sales 2022]]/internal_sales_data[[#Totals],[Net Sales 2022]]</f>
        <v>4.178071928534096E-2</v>
      </c>
    </row>
    <row r="7" spans="1:13" x14ac:dyDescent="0.25">
      <c r="A7" s="8" t="s">
        <v>57</v>
      </c>
      <c r="B7" s="8" t="s">
        <v>76</v>
      </c>
      <c r="C7">
        <v>200</v>
      </c>
      <c r="D7" s="8" t="s">
        <v>84</v>
      </c>
      <c r="E7" s="9">
        <v>9</v>
      </c>
      <c r="F7" s="9">
        <v>5</v>
      </c>
      <c r="G7" s="9">
        <v>1.5</v>
      </c>
      <c r="H7" s="10">
        <v>289087</v>
      </c>
      <c r="I7" s="9">
        <f>internal_sales_data[[#This Row],[Volume 2022]]*internal_sales_data[[#This Row],[Net Price]]</f>
        <v>1445435</v>
      </c>
      <c r="J7" s="9">
        <f>internal_sales_data[[#This Row],[Net Price]]-internal_sales_data[[#This Row],[COGS]]</f>
        <v>3.5</v>
      </c>
      <c r="K7" s="9">
        <f>internal_sales_data[[#This Row],[Gross Profit per unit]]*internal_sales_data[[#This Row],[Volume 2022]]</f>
        <v>1011804.5</v>
      </c>
      <c r="L7" s="7">
        <f>internal_sales_data[[#This Row],[Gross Profit per unit]]/internal_sales_data[[#This Row],[Net Price]]</f>
        <v>0.7</v>
      </c>
      <c r="M7" s="7">
        <f>internal_sales_data[[#This Row],[Net Sales 2022]]/internal_sales_data[[#Totals],[Net Sales 2022]]</f>
        <v>7.0575417267294702E-2</v>
      </c>
    </row>
    <row r="8" spans="1:13" x14ac:dyDescent="0.25">
      <c r="A8" s="8" t="s">
        <v>22</v>
      </c>
      <c r="B8" s="8" t="s">
        <v>85</v>
      </c>
      <c r="C8">
        <v>100</v>
      </c>
      <c r="D8" s="8" t="s">
        <v>86</v>
      </c>
      <c r="E8" s="9">
        <v>6</v>
      </c>
      <c r="F8" s="9">
        <v>3.5</v>
      </c>
      <c r="G8" s="9">
        <v>1.1499999999999999</v>
      </c>
      <c r="H8" s="10">
        <v>1089532</v>
      </c>
      <c r="I8" s="9">
        <f>internal_sales_data[[#This Row],[Volume 2022]]*internal_sales_data[[#This Row],[Net Price]]</f>
        <v>3813362</v>
      </c>
      <c r="J8" s="9">
        <f>internal_sales_data[[#This Row],[Net Price]]-internal_sales_data[[#This Row],[COGS]]</f>
        <v>2.35</v>
      </c>
      <c r="K8" s="9">
        <f>internal_sales_data[[#This Row],[Gross Profit per unit]]*internal_sales_data[[#This Row],[Volume 2022]]</f>
        <v>2560400.2000000002</v>
      </c>
      <c r="L8" s="7">
        <f>internal_sales_data[[#This Row],[Gross Profit per unit]]/internal_sales_data[[#This Row],[Net Price]]</f>
        <v>0.67142857142857149</v>
      </c>
      <c r="M8" s="7">
        <f>internal_sales_data[[#This Row],[Net Sales 2022]]/internal_sales_data[[#Totals],[Net Sales 2022]]</f>
        <v>0.18619281693140505</v>
      </c>
    </row>
    <row r="9" spans="1:13" x14ac:dyDescent="0.25">
      <c r="A9" s="8" t="s">
        <v>22</v>
      </c>
      <c r="B9" s="8" t="s">
        <v>85</v>
      </c>
      <c r="C9">
        <v>125</v>
      </c>
      <c r="D9" s="8" t="s">
        <v>87</v>
      </c>
      <c r="E9" s="9">
        <v>7</v>
      </c>
      <c r="F9" s="9">
        <v>4.25</v>
      </c>
      <c r="G9" s="9">
        <v>1.3</v>
      </c>
      <c r="H9" s="10">
        <v>466942</v>
      </c>
      <c r="I9" s="9">
        <f>internal_sales_data[[#This Row],[Volume 2022]]*internal_sales_data[[#This Row],[Net Price]]</f>
        <v>1984503.5</v>
      </c>
      <c r="J9" s="9">
        <f>internal_sales_data[[#This Row],[Net Price]]-internal_sales_data[[#This Row],[COGS]]</f>
        <v>2.95</v>
      </c>
      <c r="K9" s="9">
        <f>internal_sales_data[[#This Row],[Gross Profit per unit]]*internal_sales_data[[#This Row],[Volume 2022]]</f>
        <v>1377478.9000000001</v>
      </c>
      <c r="L9" s="7">
        <f>internal_sales_data[[#This Row],[Gross Profit per unit]]/internal_sales_data[[#This Row],[Net Price]]</f>
        <v>0.69411764705882362</v>
      </c>
      <c r="M9" s="7">
        <f>internal_sales_data[[#This Row],[Net Sales 2022]]/internal_sales_data[[#Totals],[Net Sales 2022]]</f>
        <v>9.6896202583240873E-2</v>
      </c>
    </row>
    <row r="10" spans="1:13" x14ac:dyDescent="0.25">
      <c r="A10" s="8" t="s">
        <v>22</v>
      </c>
      <c r="B10" s="8" t="s">
        <v>85</v>
      </c>
      <c r="C10">
        <v>150</v>
      </c>
      <c r="D10" s="8" t="s">
        <v>88</v>
      </c>
      <c r="E10" s="9">
        <v>8</v>
      </c>
      <c r="F10" s="9">
        <v>5.0999999999999996</v>
      </c>
      <c r="G10" s="9">
        <v>1.5</v>
      </c>
      <c r="H10" s="10">
        <v>389118</v>
      </c>
      <c r="I10" s="9">
        <f>internal_sales_data[[#This Row],[Volume 2022]]*internal_sales_data[[#This Row],[Net Price]]</f>
        <v>1984501.7999999998</v>
      </c>
      <c r="J10" s="9">
        <f>internal_sales_data[[#This Row],[Net Price]]-internal_sales_data[[#This Row],[COGS]]</f>
        <v>3.5999999999999996</v>
      </c>
      <c r="K10" s="9">
        <f>internal_sales_data[[#This Row],[Gross Profit per unit]]*internal_sales_data[[#This Row],[Volume 2022]]</f>
        <v>1400824.7999999998</v>
      </c>
      <c r="L10" s="7">
        <f>internal_sales_data[[#This Row],[Gross Profit per unit]]/internal_sales_data[[#This Row],[Net Price]]</f>
        <v>0.70588235294117641</v>
      </c>
      <c r="M10" s="7">
        <f>internal_sales_data[[#This Row],[Net Sales 2022]]/internal_sales_data[[#Totals],[Net Sales 2022]]</f>
        <v>9.6896119578325834E-2</v>
      </c>
    </row>
    <row r="11" spans="1:13" x14ac:dyDescent="0.25">
      <c r="A11" s="8" t="s">
        <v>22</v>
      </c>
      <c r="B11" s="8" t="s">
        <v>85</v>
      </c>
      <c r="C11">
        <v>200</v>
      </c>
      <c r="D11" s="8" t="s">
        <v>89</v>
      </c>
      <c r="E11" s="9">
        <v>10</v>
      </c>
      <c r="F11" s="9">
        <v>6</v>
      </c>
      <c r="G11" s="9">
        <v>1.7</v>
      </c>
      <c r="H11" s="10">
        <v>233471</v>
      </c>
      <c r="I11" s="9">
        <f>internal_sales_data[[#This Row],[Volume 2022]]*internal_sales_data[[#This Row],[Net Price]]</f>
        <v>1400826</v>
      </c>
      <c r="J11" s="9">
        <f>internal_sales_data[[#This Row],[Net Price]]-internal_sales_data[[#This Row],[COGS]]</f>
        <v>4.3</v>
      </c>
      <c r="K11" s="9">
        <f>internal_sales_data[[#This Row],[Gross Profit per unit]]*internal_sales_data[[#This Row],[Volume 2022]]</f>
        <v>1003925.2999999999</v>
      </c>
      <c r="L11" s="7">
        <f>internal_sales_data[[#This Row],[Gross Profit per unit]]/internal_sales_data[[#This Row],[Net Price]]</f>
        <v>0.71666666666666667</v>
      </c>
      <c r="M11" s="7">
        <f>internal_sales_data[[#This Row],[Net Sales 2022]]/internal_sales_data[[#Totals],[Net Sales 2022]]</f>
        <v>6.8397319470522966E-2</v>
      </c>
    </row>
    <row r="12" spans="1:13" x14ac:dyDescent="0.25">
      <c r="A12" t="s">
        <v>90</v>
      </c>
      <c r="E12"/>
      <c r="F12"/>
      <c r="G12"/>
      <c r="H12" s="10">
        <f>SUBTOTAL(109,internal_sales_data[Volume 2022])</f>
        <v>5590290</v>
      </c>
      <c r="I12" s="9">
        <f>SUBTOTAL(109,internal_sales_data[Net Sales 2022])</f>
        <v>20480714.900000002</v>
      </c>
      <c r="K12" s="9">
        <f>SUBTOTAL(109,internal_sales_data[Gross Profit per product])</f>
        <v>14026562.75</v>
      </c>
      <c r="L12" s="11">
        <f>internal_sales_data[[#Totals],[Gross Profit per product]]/internal_sales_data[[#Totals],[Net Sales 2022]]</f>
        <v>0.68486685247495915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opLeftCell="A10" workbookViewId="0">
      <selection activeCell="A3" sqref="A3"/>
    </sheetView>
  </sheetViews>
  <sheetFormatPr defaultRowHeight="13.8" x14ac:dyDescent="0.25"/>
  <cols>
    <col min="1" max="1" width="22.6992187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C10"/>
  <sheetViews>
    <sheetView workbookViewId="0">
      <selection activeCell="A8" sqref="A8"/>
    </sheetView>
  </sheetViews>
  <sheetFormatPr defaultRowHeight="13.8" x14ac:dyDescent="0.25"/>
  <cols>
    <col min="1" max="1" width="19.69921875" bestFit="1" customWidth="1"/>
    <col min="2" max="2" width="16.09765625" bestFit="1" customWidth="1"/>
    <col min="3" max="3" width="8.19921875" bestFit="1" customWidth="1"/>
    <col min="4" max="4" width="11.296875" bestFit="1" customWidth="1"/>
    <col min="5" max="5" width="11.59765625" bestFit="1" customWidth="1"/>
    <col min="6" max="6" width="12.09765625" bestFit="1" customWidth="1"/>
    <col min="7" max="7" width="9.59765625" bestFit="1" customWidth="1"/>
    <col min="8" max="8" width="12.59765625" bestFit="1" customWidth="1"/>
    <col min="9" max="9" width="15.3984375" bestFit="1" customWidth="1"/>
    <col min="10" max="10" width="12.8984375" bestFit="1" customWidth="1"/>
    <col min="11" max="11" width="9" bestFit="1" customWidth="1"/>
    <col min="12" max="12" width="8" bestFit="1" customWidth="1"/>
    <col min="13" max="13" width="13.296875" bestFit="1" customWidth="1"/>
    <col min="14" max="14" width="9" bestFit="1" customWidth="1"/>
    <col min="15" max="15" width="12" bestFit="1" customWidth="1"/>
    <col min="16" max="16" width="9" bestFit="1" customWidth="1"/>
    <col min="17" max="17" width="13.69921875" bestFit="1" customWidth="1"/>
    <col min="18" max="18" width="8.69921875" bestFit="1" customWidth="1"/>
    <col min="19" max="19" width="9" bestFit="1" customWidth="1"/>
    <col min="20" max="20" width="10" bestFit="1" customWidth="1"/>
    <col min="21" max="21" width="11" bestFit="1" customWidth="1"/>
    <col min="22" max="22" width="9.8984375" bestFit="1" customWidth="1"/>
    <col min="23" max="23" width="11" bestFit="1" customWidth="1"/>
    <col min="24" max="24" width="9" bestFit="1" customWidth="1"/>
    <col min="25" max="25" width="11.8984375" bestFit="1" customWidth="1"/>
    <col min="26" max="26" width="14.8984375" bestFit="1" customWidth="1"/>
    <col min="27" max="27" width="11.296875" bestFit="1" customWidth="1"/>
  </cols>
  <sheetData>
    <row r="1" spans="1:3" x14ac:dyDescent="0.25">
      <c r="A1" s="2" t="s">
        <v>1</v>
      </c>
      <c r="B1" t="s">
        <v>21</v>
      </c>
    </row>
    <row r="3" spans="1:3" x14ac:dyDescent="0.25">
      <c r="A3" s="2" t="s">
        <v>61</v>
      </c>
      <c r="B3" s="2" t="s">
        <v>60</v>
      </c>
    </row>
    <row r="4" spans="1:3" x14ac:dyDescent="0.25">
      <c r="A4" s="2" t="s">
        <v>58</v>
      </c>
      <c r="B4" t="s">
        <v>22</v>
      </c>
      <c r="C4" t="s">
        <v>57</v>
      </c>
    </row>
    <row r="5" spans="1:3" x14ac:dyDescent="0.25">
      <c r="A5" s="3">
        <v>2018</v>
      </c>
      <c r="B5" s="5"/>
      <c r="C5" s="5"/>
    </row>
    <row r="6" spans="1:3" x14ac:dyDescent="0.25">
      <c r="A6" s="3">
        <v>2019</v>
      </c>
      <c r="B6" s="5">
        <v>-1.8851917463244935E-2</v>
      </c>
      <c r="C6" s="5">
        <v>-6.0152376717658426E-2</v>
      </c>
    </row>
    <row r="7" spans="1:3" x14ac:dyDescent="0.25">
      <c r="A7" s="3">
        <v>2020</v>
      </c>
      <c r="B7" s="5">
        <v>7.659905577863356E-2</v>
      </c>
      <c r="C7" s="5">
        <v>1.7745774906480036E-2</v>
      </c>
    </row>
    <row r="8" spans="1:3" x14ac:dyDescent="0.25">
      <c r="A8" s="3">
        <v>2021</v>
      </c>
      <c r="B8" s="5">
        <v>8.9543837962540954E-3</v>
      </c>
      <c r="C8" s="5">
        <v>1.2423428548747735E-2</v>
      </c>
    </row>
    <row r="9" spans="1:3" x14ac:dyDescent="0.25">
      <c r="A9" s="3">
        <v>2022</v>
      </c>
      <c r="B9" s="5">
        <v>6.7382398799515006E-2</v>
      </c>
      <c r="C9" s="5">
        <v>-9.1123767974869612E-5</v>
      </c>
    </row>
    <row r="10" spans="1:3"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3.8" x14ac:dyDescent="0.25"/>
  <cols>
    <col min="1" max="1" width="18.3984375" bestFit="1" customWidth="1"/>
    <col min="2" max="2" width="7.29687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85" zoomScaleNormal="85" workbookViewId="0">
      <selection activeCell="C7" sqref="C7"/>
    </sheetView>
  </sheetViews>
  <sheetFormatPr defaultRowHeight="13.8" x14ac:dyDescent="0.25"/>
  <cols>
    <col min="1" max="1" width="20.296875" bestFit="1" customWidth="1"/>
    <col min="2" max="2" width="17" bestFit="1" customWidth="1"/>
    <col min="3" max="3" width="7.5" bestFit="1" customWidth="1"/>
    <col min="4" max="4" width="9.69921875" bestFit="1" customWidth="1"/>
    <col min="5" max="5" width="7.296875" bestFit="1" customWidth="1"/>
    <col min="6" max="6" width="14.8984375" bestFit="1" customWidth="1"/>
    <col min="7" max="7" width="13.59765625" bestFit="1" customWidth="1"/>
    <col min="8" max="8" width="12.59765625" bestFit="1" customWidth="1"/>
    <col min="9" max="9" width="6.09765625" bestFit="1" customWidth="1"/>
    <col min="10" max="10" width="8.19921875" bestFit="1" customWidth="1"/>
    <col min="11" max="11" width="16" bestFit="1" customWidth="1"/>
    <col min="12" max="12" width="13.3984375" bestFit="1" customWidth="1"/>
    <col min="13" max="13" width="9.3984375" bestFit="1" customWidth="1"/>
    <col min="14" max="14" width="9.19921875" bestFit="1" customWidth="1"/>
    <col min="15" max="15" width="10" bestFit="1" customWidth="1"/>
    <col min="16" max="16" width="8.296875" bestFit="1" customWidth="1"/>
    <col min="17" max="17" width="12.69921875" bestFit="1" customWidth="1"/>
    <col min="18" max="18" width="9.59765625" bestFit="1" customWidth="1"/>
    <col min="19" max="19" width="11.5" bestFit="1" customWidth="1"/>
    <col min="20" max="20" width="14.69921875" bestFit="1" customWidth="1"/>
    <col min="21" max="21" width="6.796875" bestFit="1" customWidth="1"/>
    <col min="22" max="22" width="12.5" bestFit="1" customWidth="1"/>
    <col min="23" max="23" width="14.296875" bestFit="1" customWidth="1"/>
    <col min="24" max="24" width="11.3984375" bestFit="1" customWidth="1"/>
    <col min="25" max="25" width="12.19921875" bestFit="1" customWidth="1"/>
    <col min="26" max="26" width="6" bestFit="1" customWidth="1"/>
    <col min="27" max="27" width="11.5" bestFit="1" customWidth="1"/>
  </cols>
  <sheetData>
    <row r="3" spans="1:27" x14ac:dyDescent="0.25">
      <c r="A3" s="2" t="s">
        <v>61</v>
      </c>
      <c r="B3" s="2" t="s">
        <v>60</v>
      </c>
    </row>
    <row r="4" spans="1:27" x14ac:dyDescent="0.25">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25">
      <c r="A5" s="3">
        <v>2018</v>
      </c>
      <c r="B5" s="7">
        <v>0.23893362627476761</v>
      </c>
      <c r="C5" s="7">
        <v>0.24638658527854879</v>
      </c>
      <c r="D5" s="7">
        <v>0.12754937759440738</v>
      </c>
      <c r="E5" s="7">
        <v>0.11931132206626169</v>
      </c>
      <c r="F5" s="7">
        <v>4.2104526845521462E-2</v>
      </c>
      <c r="G5" s="7">
        <v>4.6637934782502097E-2</v>
      </c>
      <c r="H5" s="7">
        <v>2.9771546216240334E-2</v>
      </c>
      <c r="I5" s="7">
        <v>3.3728200603644162E-2</v>
      </c>
      <c r="J5" s="7">
        <v>2.8625370903148553E-2</v>
      </c>
      <c r="K5" s="7">
        <v>4.1509525554520024E-3</v>
      </c>
      <c r="L5" s="7">
        <v>1.7584658429132614E-2</v>
      </c>
      <c r="M5" s="7">
        <v>2.1405196106830941E-2</v>
      </c>
      <c r="N5" s="7">
        <v>1.0746180151136597E-2</v>
      </c>
      <c r="O5" s="7">
        <v>5.8849257964876446E-4</v>
      </c>
      <c r="P5" s="7">
        <v>7.9070977713285046E-3</v>
      </c>
      <c r="Q5" s="7">
        <v>0</v>
      </c>
      <c r="R5" s="7">
        <v>5.9910031980130018E-3</v>
      </c>
      <c r="S5" s="7">
        <v>1.1962719595748667E-3</v>
      </c>
      <c r="T5" s="7">
        <v>3.1861221992051875E-3</v>
      </c>
      <c r="U5" s="7">
        <v>3.5312823728125419E-3</v>
      </c>
      <c r="V5" s="7">
        <v>1.2656554063352888E-3</v>
      </c>
      <c r="W5" s="7">
        <v>7.323263444289097E-4</v>
      </c>
      <c r="X5" s="7">
        <v>2.4334057841440926E-3</v>
      </c>
      <c r="Y5" s="7">
        <v>4.7140699169392697E-3</v>
      </c>
      <c r="Z5" s="7">
        <v>1.5187946599753456E-3</v>
      </c>
      <c r="AA5" s="7">
        <v>1</v>
      </c>
    </row>
    <row r="6" spans="1:27" x14ac:dyDescent="0.25">
      <c r="A6" s="3">
        <v>2019</v>
      </c>
      <c r="B6" s="7">
        <v>0.21752099860794299</v>
      </c>
      <c r="C6" s="7">
        <v>0.222631989129527</v>
      </c>
      <c r="D6" s="7">
        <v>0.14634042355648372</v>
      </c>
      <c r="E6" s="7">
        <v>0.11339207012090637</v>
      </c>
      <c r="F6" s="7">
        <v>5.3918943821206933E-2</v>
      </c>
      <c r="G6" s="7">
        <v>3.769889850570577E-2</v>
      </c>
      <c r="H6" s="7">
        <v>2.9143902754705464E-2</v>
      </c>
      <c r="I6" s="7">
        <v>3.3132302411619026E-2</v>
      </c>
      <c r="J6" s="7">
        <v>2.3720144691600199E-2</v>
      </c>
      <c r="K6" s="7">
        <v>9.8629039567745911E-3</v>
      </c>
      <c r="L6" s="7">
        <v>1.8911155731874858E-2</v>
      </c>
      <c r="M6" s="7">
        <v>1.9018917307720252E-2</v>
      </c>
      <c r="N6" s="7">
        <v>1.4647827785489438E-2</v>
      </c>
      <c r="O6" s="7">
        <v>2.0440558136883891E-2</v>
      </c>
      <c r="P6" s="7">
        <v>7.4757062898257141E-3</v>
      </c>
      <c r="Q6" s="7">
        <v>5.2674138731522195E-4</v>
      </c>
      <c r="R6" s="7">
        <v>6.5457947964695506E-3</v>
      </c>
      <c r="S6" s="7">
        <v>2.0406281157516969E-3</v>
      </c>
      <c r="T6" s="7">
        <v>5.2155630152184249E-3</v>
      </c>
      <c r="U6" s="7">
        <v>3.4983892590354079E-3</v>
      </c>
      <c r="V6" s="7">
        <v>3.0641086382341893E-3</v>
      </c>
      <c r="W6" s="7">
        <v>3.3487738063714811E-3</v>
      </c>
      <c r="X6" s="7">
        <v>2.1504252759870762E-3</v>
      </c>
      <c r="Y6" s="7">
        <v>3.4329226032930441E-3</v>
      </c>
      <c r="Z6" s="7">
        <v>2.3199102940576937E-3</v>
      </c>
      <c r="AA6" s="7">
        <v>1</v>
      </c>
    </row>
    <row r="7" spans="1:27" x14ac:dyDescent="0.25">
      <c r="A7" s="3">
        <v>2020</v>
      </c>
      <c r="B7" s="7">
        <v>0.22335757650329049</v>
      </c>
      <c r="C7" s="7">
        <v>0.20944458574807753</v>
      </c>
      <c r="D7" s="7">
        <v>0.15954757259247856</v>
      </c>
      <c r="E7" s="7">
        <v>0.1231677111244002</v>
      </c>
      <c r="F7" s="7">
        <v>5.1789283179524338E-2</v>
      </c>
      <c r="G7" s="7">
        <v>4.1879460734220372E-2</v>
      </c>
      <c r="H7" s="7">
        <v>2.9569827572397143E-2</v>
      </c>
      <c r="I7" s="7">
        <v>3.0564257278210889E-2</v>
      </c>
      <c r="J7" s="7">
        <v>2.047505617142692E-2</v>
      </c>
      <c r="K7" s="7">
        <v>1.2714885287793817E-2</v>
      </c>
      <c r="L7" s="7">
        <v>1.7119546205245927E-2</v>
      </c>
      <c r="M7" s="7">
        <v>1.6990969534049279E-2</v>
      </c>
      <c r="N7" s="7">
        <v>1.512611147680684E-2</v>
      </c>
      <c r="O7" s="7">
        <v>8.4146922025785074E-3</v>
      </c>
      <c r="P7" s="7">
        <v>7.2443010606839447E-3</v>
      </c>
      <c r="Q7" s="7">
        <v>4.4224715646912598E-3</v>
      </c>
      <c r="R7" s="7">
        <v>4.3184030743208075E-3</v>
      </c>
      <c r="S7" s="7">
        <v>2.7634856493191497E-3</v>
      </c>
      <c r="T7" s="7">
        <v>6.6702471278077902E-3</v>
      </c>
      <c r="U7" s="7">
        <v>3.4161300614927144E-3</v>
      </c>
      <c r="V7" s="7">
        <v>3.8840788604800379E-3</v>
      </c>
      <c r="W7" s="7">
        <v>3.9159463414146587E-3</v>
      </c>
      <c r="X7" s="7">
        <v>1.947270808689186E-3</v>
      </c>
      <c r="Y7" s="7">
        <v>8.177722739087231E-4</v>
      </c>
      <c r="Z7" s="7">
        <v>4.3835756669089034E-4</v>
      </c>
      <c r="AA7" s="7">
        <v>1</v>
      </c>
    </row>
    <row r="8" spans="1:27" x14ac:dyDescent="0.25">
      <c r="A8" s="3">
        <v>2021</v>
      </c>
      <c r="B8" s="7">
        <v>0.224102323064961</v>
      </c>
      <c r="C8" s="7">
        <v>0.20953736669612458</v>
      </c>
      <c r="D8" s="7">
        <v>0.16390616159783691</v>
      </c>
      <c r="E8" s="7">
        <v>0.12315495378217035</v>
      </c>
      <c r="F8" s="7">
        <v>6.2925047833421788E-2</v>
      </c>
      <c r="G8" s="7">
        <v>2.9721331618779427E-2</v>
      </c>
      <c r="H8" s="7">
        <v>2.810165756041702E-2</v>
      </c>
      <c r="I8" s="7">
        <v>2.702317519843583E-2</v>
      </c>
      <c r="J8" s="7">
        <v>1.8460469170300736E-2</v>
      </c>
      <c r="K8" s="7">
        <v>2.4241525412038178E-2</v>
      </c>
      <c r="L8" s="7">
        <v>1.6624949382712199E-2</v>
      </c>
      <c r="M8" s="7">
        <v>1.5319404414591875E-2</v>
      </c>
      <c r="N8" s="7">
        <v>1.2164295948070565E-2</v>
      </c>
      <c r="O8" s="7">
        <v>1.522951109658948E-3</v>
      </c>
      <c r="P8" s="7">
        <v>7.4553447310371588E-3</v>
      </c>
      <c r="Q8" s="7">
        <v>7.3385964909900223E-3</v>
      </c>
      <c r="R8" s="7">
        <v>6.3203460442711138E-3</v>
      </c>
      <c r="S8" s="7">
        <v>3.6902970984336596E-3</v>
      </c>
      <c r="T8" s="7">
        <v>6.8737722777691334E-3</v>
      </c>
      <c r="U8" s="7">
        <v>3.334408887095395E-3</v>
      </c>
      <c r="V8" s="7">
        <v>3.6711978778754392E-3</v>
      </c>
      <c r="W8" s="7">
        <v>2.3037000180148475E-3</v>
      </c>
      <c r="X8" s="7">
        <v>2.0042704640498873E-3</v>
      </c>
      <c r="Y8" s="7">
        <v>1.558490065442788E-4</v>
      </c>
      <c r="Z8" s="7">
        <v>4.6604314399833089E-5</v>
      </c>
      <c r="AA8" s="7">
        <v>1</v>
      </c>
    </row>
    <row r="9" spans="1:27" x14ac:dyDescent="0.25">
      <c r="A9" s="3">
        <v>2022</v>
      </c>
      <c r="B9" s="7">
        <v>0.21082810539549909</v>
      </c>
      <c r="C9" s="7">
        <v>0.19176428962759645</v>
      </c>
      <c r="D9" s="7">
        <v>0.18720456909096214</v>
      </c>
      <c r="E9" s="7">
        <v>0.12367833967634967</v>
      </c>
      <c r="F9" s="7">
        <v>6.3140114265998332E-2</v>
      </c>
      <c r="G9" s="7">
        <v>2.1197821661185372E-2</v>
      </c>
      <c r="H9" s="7">
        <v>3.8147589435700596E-2</v>
      </c>
      <c r="I9" s="7">
        <v>2.2912115898460927E-2</v>
      </c>
      <c r="J9" s="7">
        <v>1.5523075811104053E-2</v>
      </c>
      <c r="K9" s="7">
        <v>3.2752477593480683E-2</v>
      </c>
      <c r="L9" s="7">
        <v>1.3524828318974816E-2</v>
      </c>
      <c r="M9" s="7">
        <v>1.1268447307090992E-2</v>
      </c>
      <c r="N9" s="7">
        <v>1.1839651764009196E-2</v>
      </c>
      <c r="O9" s="7">
        <v>6.9090823827851582E-3</v>
      </c>
      <c r="P9" s="7">
        <v>6.7982713565007957E-3</v>
      </c>
      <c r="Q9" s="7">
        <v>1.5275612746357454E-2</v>
      </c>
      <c r="R9" s="7">
        <v>5.4080695831967077E-3</v>
      </c>
      <c r="S9" s="7">
        <v>1.028933997288832E-2</v>
      </c>
      <c r="T9" s="7">
        <v>3.1902851922191509E-4</v>
      </c>
      <c r="U9" s="7">
        <v>3.133911571992496E-3</v>
      </c>
      <c r="V9" s="7">
        <v>3.9348340099550775E-3</v>
      </c>
      <c r="W9" s="7">
        <v>2.3363402739377081E-3</v>
      </c>
      <c r="X9" s="7">
        <v>1.7584548142826988E-3</v>
      </c>
      <c r="Y9" s="7">
        <v>4.9373461308153525E-5</v>
      </c>
      <c r="Z9" s="7">
        <v>6.2554611612140212E-6</v>
      </c>
      <c r="AA9" s="7">
        <v>1</v>
      </c>
    </row>
    <row r="10" spans="1:27" x14ac:dyDescent="0.25">
      <c r="A10" s="3">
        <v>2023</v>
      </c>
      <c r="B10" s="7">
        <v>0.20283260164352532</v>
      </c>
      <c r="C10" s="7">
        <v>0.17748957478905797</v>
      </c>
      <c r="D10" s="7">
        <v>0.18212524496331148</v>
      </c>
      <c r="E10" s="7">
        <v>0.14499272903971849</v>
      </c>
      <c r="F10" s="7">
        <v>8.7842705600267107E-2</v>
      </c>
      <c r="G10" s="7">
        <v>2.0220502923543587E-2</v>
      </c>
      <c r="H10" s="7">
        <v>2.428212443298168E-2</v>
      </c>
      <c r="I10" s="7">
        <v>6.4276912851799423E-3</v>
      </c>
      <c r="J10" s="7">
        <v>1.078840511089546E-2</v>
      </c>
      <c r="K10" s="7">
        <v>4.6794426885858997E-2</v>
      </c>
      <c r="L10" s="7">
        <v>1.2542844136252305E-2</v>
      </c>
      <c r="M10" s="7">
        <v>9.8052368941508941E-3</v>
      </c>
      <c r="N10" s="7">
        <v>1.0473184902594608E-2</v>
      </c>
      <c r="O10" s="7">
        <v>8.5604839529709181E-3</v>
      </c>
      <c r="P10" s="7">
        <v>6.4535406086539812E-3</v>
      </c>
      <c r="Q10" s="7">
        <v>1.852994226959593E-2</v>
      </c>
      <c r="R10" s="7">
        <v>5.1217417467840495E-3</v>
      </c>
      <c r="S10" s="7">
        <v>1.3860302955560991E-2</v>
      </c>
      <c r="T10" s="7">
        <v>2.6072804656811495E-5</v>
      </c>
      <c r="U10" s="7">
        <v>3.2471070919593034E-3</v>
      </c>
      <c r="V10" s="7">
        <v>3.7503122218357655E-3</v>
      </c>
      <c r="W10" s="7">
        <v>2.2057592739662523E-3</v>
      </c>
      <c r="X10" s="7">
        <v>1.5763617695508229E-3</v>
      </c>
      <c r="Y10" s="7">
        <v>5.1102697127350529E-5</v>
      </c>
      <c r="Z10" s="7">
        <v>0</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E6CEF64-09CA-4AB0-A2E8-FD845B36EAD2}">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2.xml><?xml version="1.0" encoding="utf-8"?>
<ds:datastoreItem xmlns:ds="http://schemas.openxmlformats.org/officeDocument/2006/customXml" ds:itemID="{320AE3DB-4F54-4253-B353-00368129B75D}">
  <ds:schemaRefs>
    <ds:schemaRef ds:uri="http://schemas.microsoft.com/sharepoint/v3/contenttype/forms"/>
  </ds:schemaRefs>
</ds:datastoreItem>
</file>

<file path=customXml/itemProps3.xml><?xml version="1.0" encoding="utf-8"?>
<ds:datastoreItem xmlns:ds="http://schemas.openxmlformats.org/officeDocument/2006/customXml" ds:itemID="{E97BC1AA-A6B1-4CCD-A2B7-6069CD54F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Forecast 2024</vt:lpstr>
      <vt:lpstr>Waterfall</vt:lpstr>
      <vt:lpstr>Sales until 2022</vt:lpstr>
      <vt:lpstr>External Data</vt:lpstr>
      <vt:lpstr>Promotion Analysis</vt:lpstr>
      <vt:lpstr>Promotion Graph</vt:lpstr>
      <vt:lpstr>Organic Shampoo Launch</vt:lpstr>
      <vt:lpstr>New Category Opportunity</vt:lpstr>
      <vt:lpstr>Profitability Matrix</vt:lpstr>
      <vt:lpstr>50ml Shampoo 2024</vt:lpstr>
      <vt:lpstr>Internal Sales Data</vt:lpstr>
      <vt:lpstr>Brands per Supplier</vt:lpstr>
      <vt:lpstr>HealthMax Growth</vt:lpstr>
      <vt:lpstr>MAT Value Total Category</vt:lpstr>
      <vt:lpstr>Market Share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MohammadBassamMohammad</cp:lastModifiedBy>
  <dcterms:created xsi:type="dcterms:W3CDTF">2022-06-08T14:08:07Z</dcterms:created>
  <dcterms:modified xsi:type="dcterms:W3CDTF">2025-03-01T21:33:22Z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